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095" tabRatio="743" firstSheet="0" activeTab="7"/>
  </bookViews>
  <sheets>
    <sheet name="Title" sheetId="1" r:id="rId1"/>
    <sheet name="Equity_FX_Indx_Fut_Opts_Calc" sheetId="2" r:id="rId2"/>
    <sheet name="Equity Tree Display" sheetId="3" state="hidden" r:id="rId3"/>
    <sheet name="BondOpt Tree Display" sheetId="4" state="hidden" r:id="rId4"/>
    <sheet name="CDSs" sheetId="5" r:id="rId5"/>
    <sheet name="CDOs" sheetId="6" r:id="rId6"/>
    <sheet name="Equity Option Functions" sheetId="7" r:id="rId7"/>
    <sheet name=" Value at Risk" sheetId="8" r:id="rId8"/>
    <sheet name="MyData" sheetId="9" state="veryHidden" r:id="rId9"/>
  </sheets>
  <definedNames>
    <definedName name="_xlfn.GAMMA.DIST" hidden="1">#NAME?</definedName>
    <definedName name="_xlfn.GAMMA.INV" hidden="1">#NAME?</definedName>
    <definedName name="_xlfn.GAMMALN.PRECISE" hidden="1">#NAME?</definedName>
    <definedName name="_xlnm.Print_Area" localSheetId="3">'BondOpt Tree Display'!$A$31:$W$65</definedName>
  </definedNames>
  <calcPr fullCalcOnLoad="1"/>
</workbook>
</file>

<file path=xl/sharedStrings.xml><?xml version="1.0" encoding="utf-8"?>
<sst xmlns="http://schemas.openxmlformats.org/spreadsheetml/2006/main" count="944" uniqueCount="356">
  <si>
    <t>Underlying Type:</t>
  </si>
  <si>
    <t xml:space="preserve">Stock Price: </t>
  </si>
  <si>
    <t xml:space="preserve">Volatility (% per year): </t>
  </si>
  <si>
    <t xml:space="preserve">Risk-Free Rate (% per year): </t>
  </si>
  <si>
    <t>Option Type:</t>
  </si>
  <si>
    <t xml:space="preserve">Exercise Price: </t>
  </si>
  <si>
    <t>Time since Inception:</t>
  </si>
  <si>
    <t xml:space="preserve">Current Average: </t>
  </si>
  <si>
    <t xml:space="preserve">Price: </t>
  </si>
  <si>
    <t xml:space="preserve">Delta (per $): </t>
  </si>
  <si>
    <t xml:space="preserve">Gamma (per $ per $): </t>
  </si>
  <si>
    <t xml:space="preserve">Vega (per %): </t>
  </si>
  <si>
    <t xml:space="preserve">Theta (per day): </t>
  </si>
  <si>
    <t xml:space="preserve">Rho (per %): </t>
  </si>
  <si>
    <t>Term Structure</t>
  </si>
  <si>
    <t>Time (Yrs)</t>
  </si>
  <si>
    <t>Rate (%)</t>
  </si>
  <si>
    <t xml:space="preserve">Strike Price (/100): </t>
  </si>
  <si>
    <t xml:space="preserve">Option Life (Years): </t>
  </si>
  <si>
    <t xml:space="preserve">Short-Rate Volatility (%): </t>
  </si>
  <si>
    <t xml:space="preserve">Reversion Rate (%): </t>
  </si>
  <si>
    <t xml:space="preserve">Tree Steps: </t>
  </si>
  <si>
    <t>Principal :</t>
  </si>
  <si>
    <t xml:space="preserve">Swap Start (Years): </t>
  </si>
  <si>
    <t xml:space="preserve">Swap End (Years): </t>
  </si>
  <si>
    <t>Option Type -&gt;</t>
  </si>
  <si>
    <t>Number of items</t>
  </si>
  <si>
    <t>Items:</t>
  </si>
  <si>
    <t>Formats:</t>
  </si>
  <si>
    <t>0.0000</t>
  </si>
  <si>
    <t>Binomial: European</t>
  </si>
  <si>
    <t>0</t>
  </si>
  <si>
    <t>Binomial: American</t>
  </si>
  <si>
    <t>Asian</t>
  </si>
  <si>
    <t>Barrier: Up and In</t>
  </si>
  <si>
    <t xml:space="preserve">Barrier: </t>
  </si>
  <si>
    <t>Barrier: Up and Out</t>
  </si>
  <si>
    <t>Barrier: Down and In</t>
  </si>
  <si>
    <t>Barrier: Down and Out</t>
  </si>
  <si>
    <t>Binary: Cash or Nothing</t>
  </si>
  <si>
    <t xml:space="preserve">Cash Amount: </t>
  </si>
  <si>
    <t>Binary: Asset or Nothing</t>
  </si>
  <si>
    <t>Chooser</t>
  </si>
  <si>
    <t xml:space="preserve">Decision Date: </t>
  </si>
  <si>
    <t>Compound: Option on Call</t>
  </si>
  <si>
    <t xml:space="preserve">Time to First Exercise: </t>
  </si>
  <si>
    <t xml:space="preserve">First Exercise Price: </t>
  </si>
  <si>
    <t xml:space="preserve">Time to Final Exercise: </t>
  </si>
  <si>
    <t xml:space="preserve">Final Exercise Price: </t>
  </si>
  <si>
    <t>Compound: Option on Put</t>
  </si>
  <si>
    <t xml:space="preserve">Maximum to Date: </t>
  </si>
  <si>
    <t xml:space="preserve">Minimum to Date: </t>
  </si>
  <si>
    <t>Underlying Type -&gt;</t>
  </si>
  <si>
    <t>Equity</t>
  </si>
  <si>
    <t>0.00</t>
  </si>
  <si>
    <t>0.00%</t>
  </si>
  <si>
    <t>Currency</t>
  </si>
  <si>
    <t xml:space="preserve">Exchange Rate ($ / foreign): </t>
  </si>
  <si>
    <t xml:space="preserve">Foreign Risk-free Rate (% per year): </t>
  </si>
  <si>
    <t>Index</t>
  </si>
  <si>
    <t xml:space="preserve">Index Level: </t>
  </si>
  <si>
    <t xml:space="preserve">Dividend Yield (% per yer): </t>
  </si>
  <si>
    <t>Futures</t>
  </si>
  <si>
    <t xml:space="preserve">Futures Price: </t>
  </si>
  <si>
    <t>Call or Put -&gt;</t>
  </si>
  <si>
    <t>ImplyVolatility -&gt;</t>
  </si>
  <si>
    <t>X-axis variable -&gt;</t>
  </si>
  <si>
    <t>Asset price</t>
  </si>
  <si>
    <t>Strike price</t>
  </si>
  <si>
    <t>Risk-free rate</t>
  </si>
  <si>
    <t>Time to Exercise</t>
  </si>
  <si>
    <t>Volatility</t>
  </si>
  <si>
    <t>Y-axis variable -&gt;</t>
  </si>
  <si>
    <t>Option price</t>
  </si>
  <si>
    <t>Delta</t>
  </si>
  <si>
    <t>Gamma</t>
  </si>
  <si>
    <t>Vega</t>
  </si>
  <si>
    <t>Rho</t>
  </si>
  <si>
    <t>Theta</t>
  </si>
  <si>
    <t>Bond Option Display Data:</t>
  </si>
  <si>
    <t>Coupon Frequency -&gt;</t>
  </si>
  <si>
    <t>Quarterly</t>
  </si>
  <si>
    <t>Semi-Annual</t>
  </si>
  <si>
    <t>Annual</t>
  </si>
  <si>
    <t>Pricing Model -&gt;</t>
  </si>
  <si>
    <t>Black - European</t>
  </si>
  <si>
    <t xml:space="preserve">Yield Volatility (%): </t>
  </si>
  <si>
    <t>Normal - Analytic European</t>
  </si>
  <si>
    <t>Normal - Tree European</t>
  </si>
  <si>
    <t>Quoted Strike -&gt;</t>
  </si>
  <si>
    <t>Price from TS -&gt;</t>
  </si>
  <si>
    <t>Parallel Rate Shift</t>
  </si>
  <si>
    <t>Bond Maturity</t>
  </si>
  <si>
    <t>DV01</t>
  </si>
  <si>
    <t>Gamma01</t>
  </si>
  <si>
    <t>Cap / Swap Option Display Data:</t>
  </si>
  <si>
    <t>Settlement Frequency -&gt;</t>
  </si>
  <si>
    <t>Monthly</t>
  </si>
  <si>
    <t xml:space="preserve">Volatility (%): </t>
  </si>
  <si>
    <t>Swap Option</t>
  </si>
  <si>
    <t>Cap / Floor</t>
  </si>
  <si>
    <t xml:space="preserve">Cap/Floor Start (Years): </t>
  </si>
  <si>
    <t xml:space="preserve">Cap/Floor End (Years): </t>
  </si>
  <si>
    <t>Cap/Floor Rate (%):</t>
  </si>
  <si>
    <t>ImplyBreakEven -&gt;</t>
  </si>
  <si>
    <t>Swap / Cap Rate</t>
  </si>
  <si>
    <t>Time to Start</t>
  </si>
  <si>
    <t>Time to End</t>
  </si>
  <si>
    <t>Floating Lookback</t>
  </si>
  <si>
    <t>Fixed Lookback</t>
  </si>
  <si>
    <t>CDS Data</t>
  </si>
  <si>
    <t>Payment Frequency -&gt;</t>
  </si>
  <si>
    <t>ImplyLambda -&gt;</t>
  </si>
  <si>
    <t>Default Rate Data</t>
  </si>
  <si>
    <t>Life(Yrs)</t>
  </si>
  <si>
    <t>Spread (bp)</t>
  </si>
  <si>
    <t>Hazard Rate</t>
  </si>
  <si>
    <t>Recovery Rate</t>
  </si>
  <si>
    <t>Payment Frequency:</t>
  </si>
  <si>
    <t>Upfront (%)</t>
  </si>
  <si>
    <t>Detachment Point (%)</t>
  </si>
  <si>
    <t>Attachment Point (%)</t>
  </si>
  <si>
    <t>Number of Names</t>
  </si>
  <si>
    <t>Life (Years)</t>
  </si>
  <si>
    <t>CD0 Data</t>
  </si>
  <si>
    <t>Upfront1</t>
  </si>
  <si>
    <t>Upfront2</t>
  </si>
  <si>
    <t>Upfront3</t>
  </si>
  <si>
    <t>Upfront4</t>
  </si>
  <si>
    <t>Upfront5</t>
  </si>
  <si>
    <t>ImpCorr</t>
  </si>
  <si>
    <t>CDO Data</t>
  </si>
  <si>
    <t>No. of Integration Points</t>
  </si>
  <si>
    <t>CDS Hazard Rate Data</t>
  </si>
  <si>
    <t>Base Correlation</t>
  </si>
  <si>
    <t>Base Corr.</t>
  </si>
  <si>
    <t>For Excel 2000 and more recent versions of Excel</t>
  </si>
  <si>
    <t>This is the Options Calculator Software that has been designed to</t>
  </si>
  <si>
    <t>ExpLoss</t>
  </si>
  <si>
    <t>PVPmts</t>
  </si>
  <si>
    <t>Tranche Corr</t>
  </si>
  <si>
    <r>
      <t>click on the Options button and choose "Enable this content"</t>
    </r>
    <r>
      <rPr>
        <sz val="12"/>
        <rFont val="Times New Roman"/>
        <family val="1"/>
      </rPr>
      <t xml:space="preserve"> </t>
    </r>
  </si>
  <si>
    <t xml:space="preserve">Black-Scholes - European </t>
  </si>
  <si>
    <t>MC Option Type -&gt;</t>
  </si>
  <si>
    <t>MC Underlying Type -&gt;</t>
  </si>
  <si>
    <t>DoAntethetic -&gt;</t>
  </si>
  <si>
    <t>MC Model Type -&gt;</t>
  </si>
  <si>
    <t>Log Normal</t>
  </si>
  <si>
    <t>Variance Gamma</t>
  </si>
  <si>
    <t>Merton Jump Diffusion</t>
  </si>
  <si>
    <t xml:space="preserve">Jumps per Year: </t>
  </si>
  <si>
    <t xml:space="preserve">Theta: </t>
  </si>
  <si>
    <t xml:space="preserve">Average Jump Size (%): </t>
  </si>
  <si>
    <t xml:space="preserve">Jump Std. Deviation (%): </t>
  </si>
  <si>
    <t xml:space="preserve">Variance Rate (%): </t>
  </si>
  <si>
    <t>0.000</t>
  </si>
  <si>
    <t>Results:</t>
  </si>
  <si>
    <t>Vertical (Y) Axis:</t>
  </si>
  <si>
    <t>Horizontal (X) Axis:</t>
  </si>
  <si>
    <t xml:space="preserve">Minimum X value: </t>
  </si>
  <si>
    <t xml:space="preserve">Maximum X value: </t>
  </si>
  <si>
    <t xml:space="preserve">Number of X Values: </t>
  </si>
  <si>
    <t>Call or Put for Graph -&gt;</t>
  </si>
  <si>
    <t xml:space="preserve">Progress: </t>
  </si>
  <si>
    <t>Opt Type for Graph -&gt;</t>
  </si>
  <si>
    <t>U Type for Graph -&gt;</t>
  </si>
  <si>
    <t>Quoted Strike for Graphv-&gt;</t>
  </si>
  <si>
    <t>Coupon Frequency for Graph -&gt;</t>
  </si>
  <si>
    <t>Pricing Model for Graph -&gt;</t>
  </si>
  <si>
    <t>Option Price</t>
  </si>
  <si>
    <t>Settlement Freq Graph -&gt;</t>
  </si>
  <si>
    <t>Pricing Model Graph -&gt;</t>
  </si>
  <si>
    <t>Underlying Type Graph -&gt;</t>
  </si>
  <si>
    <t>Call or Put Graph -&gt;</t>
  </si>
  <si>
    <t xml:space="preserve">Swap Rate (%): </t>
  </si>
  <si>
    <t>#,###</t>
  </si>
  <si>
    <t xml:space="preserve">Life (Years): </t>
  </si>
  <si>
    <t xml:space="preserve">Remaining Life (Years): </t>
  </si>
  <si>
    <t xml:space="preserve">Strike Price: </t>
  </si>
  <si>
    <t>Settlement Frequency for Zero -&gt;</t>
  </si>
  <si>
    <t xml:space="preserve">European </t>
  </si>
  <si>
    <t>Alt Underlying Type -&gt;</t>
  </si>
  <si>
    <t>CEV</t>
  </si>
  <si>
    <t xml:space="preserve">Alpha: </t>
  </si>
  <si>
    <t>Implied Volatility</t>
  </si>
  <si>
    <t>Alt-Model Y-axis variable -&gt;</t>
  </si>
  <si>
    <t>Chart:</t>
  </si>
  <si>
    <t>Vol. Parameter</t>
  </si>
  <si>
    <t xml:space="preserve">Diffusion Vol. (% per year): </t>
  </si>
  <si>
    <t xml:space="preserve">Avg. No. Jumps per Year: </t>
  </si>
  <si>
    <t>At each node:</t>
  </si>
  <si>
    <t xml:space="preserve"> Upper value = Cash Bond Price per $100 of Principal</t>
  </si>
  <si>
    <t xml:space="preserve"> Middle value = Option Price per $100 of Principal</t>
  </si>
  <si>
    <t xml:space="preserve"> Lower value = dt-period Rate</t>
  </si>
  <si>
    <t>Values in red are a result of early exercise.</t>
  </si>
  <si>
    <t>Pu:</t>
  </si>
  <si>
    <t>Pm:</t>
  </si>
  <si>
    <t>Pd:</t>
  </si>
  <si>
    <t xml:space="preserve">Node Time: </t>
  </si>
  <si>
    <t xml:space="preserve">Accrual: </t>
  </si>
  <si>
    <t>Swap PayFixed</t>
  </si>
  <si>
    <t>accompany John Hull's book:</t>
  </si>
  <si>
    <t xml:space="preserve"> Upper value = Underlying Asset Price</t>
  </si>
  <si>
    <t xml:space="preserve"> Lower value = Option Price</t>
  </si>
  <si>
    <t>BondPrice Display Data:</t>
  </si>
  <si>
    <t>Swap Price Display Data:</t>
  </si>
  <si>
    <t>Strike Price</t>
  </si>
  <si>
    <t>© A-J Financial Systems, Inc., 2016</t>
  </si>
  <si>
    <t>Heston</t>
  </si>
  <si>
    <t>SABR</t>
  </si>
  <si>
    <t>Initial Volatility (% per year):</t>
  </si>
  <si>
    <t>Reversion Level (% per year):</t>
  </si>
  <si>
    <t>Reversion Rate:</t>
  </si>
  <si>
    <t>Volatility of Variance:</t>
  </si>
  <si>
    <t>Correlation:</t>
  </si>
  <si>
    <t>Beta:</t>
  </si>
  <si>
    <t>Volatility of Volatility:</t>
  </si>
  <si>
    <t>Time step, dt = 0.1000 years, 36.50 days</t>
  </si>
  <si>
    <t>Bachelier - European</t>
  </si>
  <si>
    <t xml:space="preserve">Standard Deviation (%): </t>
  </si>
  <si>
    <t>Displacement (%)</t>
  </si>
  <si>
    <t>Shifted LogNormal - European</t>
  </si>
  <si>
    <t>Normal - Tree American</t>
  </si>
  <si>
    <t>LogNormal - Tree European</t>
  </si>
  <si>
    <t>LogNormal - Tree American</t>
  </si>
  <si>
    <t>Asset Price</t>
  </si>
  <si>
    <t>Strike price = 50</t>
  </si>
  <si>
    <t>Discount factor per step = 0.9950</t>
  </si>
  <si>
    <t>Growth factor per step, a = 1.0050</t>
  </si>
  <si>
    <t>Probability of up move, p = 0.5119</t>
  </si>
  <si>
    <t>Up step size, u = 1.0823</t>
  </si>
  <si>
    <t>Down step size, d = 0.9240</t>
  </si>
  <si>
    <t>Strike price = 105</t>
  </si>
  <si>
    <t>Time step, dt = 0.3750 years, 136.88 days</t>
  </si>
  <si>
    <t>Function 16: Black_Scholes(S, K, r, q, vol, T, IsCall, IsFut, Divs, Result)</t>
  </si>
  <si>
    <t>Carries out Black-Scholes calculations for European options on stocks, stock indices, currencies and futures</t>
  </si>
  <si>
    <t>Arguments:</t>
  </si>
  <si>
    <t>S</t>
  </si>
  <si>
    <t>K</t>
  </si>
  <si>
    <t>r</t>
  </si>
  <si>
    <t>Domestic risk-free rate</t>
  </si>
  <si>
    <t>q</t>
  </si>
  <si>
    <t>Dividend yield for stock index options, foreign risk free rate for currency options (Enter 0 if this parameter not applicable)</t>
  </si>
  <si>
    <t>vol</t>
  </si>
  <si>
    <t>Volatility. BUT Enter Price if Implied Volatility is to be calculated (i.e. Result=6)</t>
  </si>
  <si>
    <t>T</t>
  </si>
  <si>
    <t>Time to maturity (yrs)</t>
  </si>
  <si>
    <t>IsCall</t>
  </si>
  <si>
    <t>TRUE if call, FALSE if put</t>
  </si>
  <si>
    <t>IsFut</t>
  </si>
  <si>
    <t>TRUE if futures option, FALSE otherwise</t>
  </si>
  <si>
    <t>Divs</t>
  </si>
  <si>
    <t>Array containing time to dividend payment and size of dividend payment in cols 1 and 2. (Leave blank if not applicable)</t>
  </si>
  <si>
    <t>Result</t>
  </si>
  <si>
    <t>0=Price; 1=Delta; 2=Gamma; 3=Vega; 4=Theta; 5=Rho; 6=Implied Vol</t>
  </si>
  <si>
    <t>Example:</t>
  </si>
  <si>
    <t>Continuous Dividends</t>
  </si>
  <si>
    <t>Dividends</t>
  </si>
  <si>
    <t>Discrete Dividends</t>
  </si>
  <si>
    <t>Function 17: TreeEquityOpt(S, K, r, q, vol, T, IsCall, IsFut, Divs, IsAmerican, nSteps, Result)</t>
  </si>
  <si>
    <t>Carries out binomial tree calculations for European or American options on stocks, stock indices, currencies, and futures</t>
  </si>
  <si>
    <t>IsAmerican</t>
  </si>
  <si>
    <t>TRUE if American option, FALSE if European option</t>
  </si>
  <si>
    <t>nSteps</t>
  </si>
  <si>
    <t>Number of time steps on tree</t>
  </si>
  <si>
    <t>Function 18: BinaryOption(S, K, r, q, vol, T, IsCall, IsFut, Divs, IsCash, Result)</t>
  </si>
  <si>
    <t>Carries out calculations for binary options on stocks, stock indices,currencies and futures</t>
  </si>
  <si>
    <t>IsCash</t>
  </si>
  <si>
    <t>TRUE if Cash or Nothing, FALSE if Asset or Nothing</t>
  </si>
  <si>
    <t>Function 19: BarrierOption(S, K, r, q, vol, T, IsCall, IsFut, H, IsUp, IsIn, Result)</t>
  </si>
  <si>
    <t>Carries out calculations for barrier options on non-dividend-paying stocks, stock indices, currencies and futures</t>
  </si>
  <si>
    <t>H</t>
  </si>
  <si>
    <t>Barrier</t>
  </si>
  <si>
    <t>IsUp</t>
  </si>
  <si>
    <t>TRUE if Up option; FALSE if Down option</t>
  </si>
  <si>
    <t>IsIn</t>
  </si>
  <si>
    <t>TRUE if In option; FALSE if Out option</t>
  </si>
  <si>
    <t>Function 20: AverageOption(S, K, r, q, vol, T, IsCall, IsFut, CurrAve, TimeSoFar, Result)</t>
  </si>
  <si>
    <t>Carries out calculations for Asian options on non-dividend-paying stocks, stock indices, currencies and futures</t>
  </si>
  <si>
    <t>CurrAve</t>
  </si>
  <si>
    <t>Current Average (irrelevant if a new instrument)</t>
  </si>
  <si>
    <t>TimeSoFar</t>
  </si>
  <si>
    <t>Time since beginning of averaging in years (zero for a new instrument)</t>
  </si>
  <si>
    <t>Function 21: ChooserOption(S, K, r, q, vol, T, IsFut, TimeToChoice, Result)</t>
  </si>
  <si>
    <t>Carries out calculations for chooser options on non-dividend-paying stocks, stock indices,currencies and futures</t>
  </si>
  <si>
    <t>TimeToChoice</t>
  </si>
  <si>
    <t>Time until choice between call and put has to be made</t>
  </si>
  <si>
    <t>Function 22: CompoundOption(S, K1, r, q, vol, T1, IsCall, IsFut, K2, T2, IsOptionOnCall, Result)</t>
  </si>
  <si>
    <t>Carries out calculations for compound options on non-dividend-paying stocks, stock indices,currencies and futures</t>
  </si>
  <si>
    <t>K1</t>
  </si>
  <si>
    <t>First Strike Price</t>
  </si>
  <si>
    <t>T1</t>
  </si>
  <si>
    <t>Time to first exercise</t>
  </si>
  <si>
    <t>True if first option a call, FALSE if first option a put</t>
  </si>
  <si>
    <t>K2</t>
  </si>
  <si>
    <t>Second strike price</t>
  </si>
  <si>
    <t>T2</t>
  </si>
  <si>
    <t>Time to second exercise</t>
  </si>
  <si>
    <t>IsOptionOnCall</t>
  </si>
  <si>
    <t>TRUE if second option is a call, FALSE if second option is a put</t>
  </si>
  <si>
    <t>Function 23: LookbackOption(S, r, q, vol, T, IsCall, IsFut, IsFixedLookback, Smax, Smin, K, Result)</t>
  </si>
  <si>
    <t>Carries out calculations for lookback options on non-dividend-paying stocks, stock indices,currencies and futures</t>
  </si>
  <si>
    <t>TRUE if lookback call, FALSE if lookback put</t>
  </si>
  <si>
    <t>IsFixedLookback</t>
  </si>
  <si>
    <t>TRUE for fixed lookback</t>
  </si>
  <si>
    <t>Smax</t>
  </si>
  <si>
    <t>Maximum price to date (equals to current price if a new instrument)</t>
  </si>
  <si>
    <t>Smin</t>
  </si>
  <si>
    <t>Minimum price to date (equals current price if a new instrument)</t>
  </si>
  <si>
    <t>Strike price for Fixed Lookback; Ignored otherwise</t>
  </si>
  <si>
    <t>Function 24: EPortfolio(t, S, IsFut, r, q, Divs, vol, Portfolio, Result)</t>
  </si>
  <si>
    <t>Carries out calculations for a portfolio of options on a non-dividend-paying stock, stock index, currency, or futures</t>
  </si>
  <si>
    <t>t</t>
  </si>
  <si>
    <t>Valuation date (years from today &gt;=0)</t>
  </si>
  <si>
    <t>TRUE if underlying is a futures price; FALSE otherwise</t>
  </si>
  <si>
    <t>Portfolio</t>
  </si>
  <si>
    <t>Array defining portfolio. See below</t>
  </si>
  <si>
    <t>0=Price; 1=Delta; 2=Gamma; 3=Vega; 4=Theta; 5=Rho</t>
  </si>
  <si>
    <t>Portfolio definition:</t>
  </si>
  <si>
    <t>Type</t>
  </si>
  <si>
    <t>Underlying</t>
  </si>
  <si>
    <t>Number</t>
  </si>
  <si>
    <t>Black Scholes</t>
  </si>
  <si>
    <t>TreeEquityOption</t>
  </si>
  <si>
    <t>Binaryoption</t>
  </si>
  <si>
    <t>BarrierOption</t>
  </si>
  <si>
    <t>AverageOption</t>
  </si>
  <si>
    <t>ChooserOption</t>
  </si>
  <si>
    <t>CompoundOption</t>
  </si>
  <si>
    <t>IsOptOnCall</t>
  </si>
  <si>
    <t>LookBackOption</t>
  </si>
  <si>
    <t>Sample Portfolio</t>
  </si>
  <si>
    <t xml:space="preserve">Example: </t>
  </si>
  <si>
    <t>VALUE AT RISK CALCULATION FOR PORTFOLIO OF OPTIONS DEPENDENT ON A SINGLE STOCK</t>
  </si>
  <si>
    <t>Today</t>
  </si>
  <si>
    <t>1-Day Vol</t>
  </si>
  <si>
    <t>Value</t>
  </si>
  <si>
    <t>Linear model</t>
  </si>
  <si>
    <t>1-Day VaR</t>
  </si>
  <si>
    <t>Quadratic Model</t>
  </si>
  <si>
    <t>E(dP)</t>
  </si>
  <si>
    <t>mu_P</t>
  </si>
  <si>
    <t>z_q</t>
  </si>
  <si>
    <t>E(dp^2)</t>
  </si>
  <si>
    <t>Sig_P</t>
  </si>
  <si>
    <t>w_q</t>
  </si>
  <si>
    <t>E(dP^3)</t>
  </si>
  <si>
    <t>Xi_P</t>
  </si>
  <si>
    <t>Analytic VaR</t>
  </si>
  <si>
    <t>We calculate the analytic VaR by generating 1000 equally likely portfolio values</t>
  </si>
  <si>
    <t>Prob&lt;S</t>
  </si>
  <si>
    <t>Portfolio Value</t>
  </si>
  <si>
    <t>RMFI Software - Version 1.00</t>
  </si>
  <si>
    <t>"Risk Management and Financial Institutions"</t>
  </si>
  <si>
    <r>
      <t>Important</t>
    </r>
    <r>
      <rPr>
        <sz val="12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>Do not forget to enable Macros. If you are using Office 2007 you will have to</t>
    </r>
  </si>
  <si>
    <t>See Sections 14.2 and 14.7 of Risk Management and Financial Institutions 5e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</si>
</sst>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%"/>
    <numFmt numFmtId="174" formatCode="0.000"/>
    <numFmt numFmtId="175" formatCode="#,###"/>
    <numFmt numFmtId="176" formatCode="0.0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h:mm:ss\ AM/PM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%"/>
    <numFmt numFmtId="191" formatCode="0.0000000000000000%"/>
    <numFmt numFmtId="192" formatCode="0.000000000"/>
    <numFmt numFmtId="193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36"/>
      <name val="Times New Roman"/>
      <family val="1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15" fontId="0" fillId="33" borderId="0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 locked="0"/>
    </xf>
    <xf numFmtId="10" fontId="0" fillId="0" borderId="12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 horizontal="right"/>
    </xf>
    <xf numFmtId="172" fontId="0" fillId="0" borderId="12" xfId="0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NumberFormat="1" applyFill="1" applyBorder="1" applyAlignment="1">
      <alignment horizontal="right"/>
    </xf>
    <xf numFmtId="0" fontId="0" fillId="33" borderId="17" xfId="0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applyProtection="1">
      <alignment/>
      <protection locked="0"/>
    </xf>
    <xf numFmtId="0" fontId="0" fillId="34" borderId="19" xfId="55" applyFill="1" applyBorder="1" applyAlignment="1" applyProtection="1">
      <alignment horizontal="centerContinuous"/>
      <protection/>
    </xf>
    <xf numFmtId="0" fontId="0" fillId="34" borderId="20" xfId="55" applyFill="1" applyBorder="1" applyAlignment="1" applyProtection="1">
      <alignment horizontal="centerContinuous"/>
      <protection/>
    </xf>
    <xf numFmtId="0" fontId="0" fillId="34" borderId="21" xfId="55" applyFill="1" applyBorder="1" applyProtection="1">
      <alignment/>
      <protection/>
    </xf>
    <xf numFmtId="0" fontId="0" fillId="0" borderId="0" xfId="55">
      <alignment/>
      <protection/>
    </xf>
    <xf numFmtId="0" fontId="0" fillId="0" borderId="0" xfId="55" applyProtection="1">
      <alignment/>
      <protection locked="0"/>
    </xf>
    <xf numFmtId="0" fontId="0" fillId="33" borderId="22" xfId="55" applyFill="1" applyBorder="1" applyAlignment="1" applyProtection="1">
      <alignment horizontal="center"/>
      <protection/>
    </xf>
    <xf numFmtId="0" fontId="0" fillId="33" borderId="0" xfId="55" applyFill="1" applyBorder="1" applyAlignment="1" applyProtection="1">
      <alignment horizontal="center"/>
      <protection/>
    </xf>
    <xf numFmtId="0" fontId="0" fillId="33" borderId="0" xfId="55" applyFill="1" applyBorder="1" applyAlignment="1" applyProtection="1" quotePrefix="1">
      <alignment horizontal="center"/>
      <protection/>
    </xf>
    <xf numFmtId="0" fontId="0" fillId="33" borderId="23" xfId="55" applyFill="1" applyBorder="1" applyProtection="1">
      <alignment/>
      <protection/>
    </xf>
    <xf numFmtId="0" fontId="0" fillId="0" borderId="12" xfId="55" applyFill="1" applyBorder="1" applyAlignment="1" applyProtection="1">
      <alignment horizontal="center"/>
      <protection locked="0"/>
    </xf>
    <xf numFmtId="0" fontId="0" fillId="0" borderId="12" xfId="55" applyNumberFormat="1" applyFill="1" applyBorder="1" applyAlignment="1" applyProtection="1">
      <alignment horizontal="center"/>
      <protection locked="0"/>
    </xf>
    <xf numFmtId="0" fontId="0" fillId="33" borderId="0" xfId="55" applyFill="1" applyBorder="1" applyProtection="1">
      <alignment/>
      <protection/>
    </xf>
    <xf numFmtId="173" fontId="0" fillId="0" borderId="12" xfId="55" applyNumberFormat="1" applyFill="1" applyBorder="1" applyAlignment="1" applyProtection="1">
      <alignment horizontal="center"/>
      <protection locked="0"/>
    </xf>
    <xf numFmtId="0" fontId="0" fillId="0" borderId="0" xfId="55" applyProtection="1">
      <alignment/>
      <protection/>
    </xf>
    <xf numFmtId="0" fontId="0" fillId="0" borderId="0" xfId="55" applyFill="1" applyProtection="1">
      <alignment/>
      <protection/>
    </xf>
    <xf numFmtId="0" fontId="0" fillId="33" borderId="0" xfId="55" applyFill="1" applyBorder="1" applyAlignment="1" applyProtection="1">
      <alignment horizontal="right"/>
      <protection/>
    </xf>
    <xf numFmtId="0" fontId="0" fillId="33" borderId="0" xfId="55" applyFill="1" applyBorder="1" applyAlignment="1" applyProtection="1">
      <alignment horizontal="left"/>
      <protection/>
    </xf>
    <xf numFmtId="0" fontId="0" fillId="33" borderId="0" xfId="55" applyFill="1" applyBorder="1" applyAlignment="1" applyProtection="1" quotePrefix="1">
      <alignment horizontal="right"/>
      <protection/>
    </xf>
    <xf numFmtId="0" fontId="0" fillId="33" borderId="24" xfId="55" applyFill="1" applyBorder="1" applyAlignment="1" applyProtection="1">
      <alignment horizontal="center"/>
      <protection/>
    </xf>
    <xf numFmtId="0" fontId="0" fillId="33" borderId="25" xfId="55" applyFill="1" applyBorder="1" applyProtection="1">
      <alignment/>
      <protection/>
    </xf>
    <xf numFmtId="0" fontId="0" fillId="33" borderId="26" xfId="55" applyFill="1" applyBorder="1" applyProtection="1">
      <alignment/>
      <protection/>
    </xf>
    <xf numFmtId="172" fontId="0" fillId="0" borderId="12" xfId="55" applyNumberFormat="1" applyFill="1" applyBorder="1" applyAlignment="1" applyProtection="1">
      <alignment horizontal="center"/>
      <protection/>
    </xf>
    <xf numFmtId="173" fontId="0" fillId="0" borderId="12" xfId="60" applyNumberFormat="1" applyFont="1" applyFill="1" applyBorder="1" applyAlignment="1" applyProtection="1">
      <alignment horizontal="center"/>
      <protection/>
    </xf>
    <xf numFmtId="2" fontId="0" fillId="0" borderId="12" xfId="55" applyNumberFormat="1" applyFill="1" applyBorder="1" applyAlignment="1" applyProtection="1">
      <alignment horizontal="center"/>
      <protection/>
    </xf>
    <xf numFmtId="2" fontId="0" fillId="0" borderId="12" xfId="55" applyNumberFormat="1" applyFill="1" applyBorder="1" applyAlignment="1" applyProtection="1">
      <alignment horizontal="center"/>
      <protection locked="0"/>
    </xf>
    <xf numFmtId="10" fontId="0" fillId="0" borderId="12" xfId="60" applyNumberFormat="1" applyFont="1" applyFill="1" applyBorder="1" applyAlignment="1" applyProtection="1">
      <alignment horizontal="center"/>
      <protection/>
    </xf>
    <xf numFmtId="0" fontId="0" fillId="34" borderId="20" xfId="55" applyFill="1" applyBorder="1" applyProtection="1">
      <alignment/>
      <protection/>
    </xf>
    <xf numFmtId="10" fontId="0" fillId="0" borderId="0" xfId="55" applyNumberFormat="1" applyProtection="1">
      <alignment/>
      <protection locked="0"/>
    </xf>
    <xf numFmtId="2" fontId="0" fillId="0" borderId="0" xfId="55" applyNumberFormat="1" applyProtection="1">
      <alignment/>
      <protection locked="0"/>
    </xf>
    <xf numFmtId="0" fontId="8" fillId="34" borderId="0" xfId="0" applyFont="1" applyFill="1" applyAlignment="1">
      <alignment/>
    </xf>
    <xf numFmtId="10" fontId="0" fillId="0" borderId="0" xfId="55" applyNumberFormat="1" applyAlignment="1" applyProtection="1">
      <alignment horizontal="center"/>
      <protection locked="0"/>
    </xf>
    <xf numFmtId="10" fontId="0" fillId="0" borderId="12" xfId="55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 quotePrefix="1">
      <alignment horizontal="left"/>
      <protection locked="0"/>
    </xf>
    <xf numFmtId="0" fontId="0" fillId="33" borderId="1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2" fillId="33" borderId="28" xfId="0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33" borderId="0" xfId="0" applyFont="1" applyFill="1" applyBorder="1" applyAlignment="1" quotePrefix="1">
      <alignment horizontal="left"/>
    </xf>
    <xf numFmtId="0" fontId="0" fillId="33" borderId="11" xfId="0" applyNumberForma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0" fontId="2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 horizontal="right"/>
    </xf>
    <xf numFmtId="172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10" fontId="0" fillId="0" borderId="0" xfId="59" applyNumberFormat="1" applyFont="1" applyAlignment="1" applyProtection="1">
      <alignment horizontal="center"/>
      <protection locked="0"/>
    </xf>
    <xf numFmtId="0" fontId="0" fillId="0" borderId="0" xfId="55" applyAlignment="1" applyProtection="1" quotePrefix="1">
      <alignment horizontal="center"/>
      <protection locked="0"/>
    </xf>
    <xf numFmtId="0" fontId="0" fillId="0" borderId="0" xfId="55" applyAlignment="1" applyProtection="1">
      <alignment horizontal="center"/>
      <protection locked="0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8" fillId="35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173" fontId="0" fillId="0" borderId="12" xfId="0" applyNumberFormat="1" applyFill="1" applyBorder="1" applyAlignment="1">
      <alignment/>
    </xf>
    <xf numFmtId="0" fontId="13" fillId="0" borderId="12" xfId="0" applyFont="1" applyFill="1" applyBorder="1" applyAlignment="1">
      <alignment/>
    </xf>
    <xf numFmtId="10" fontId="0" fillId="0" borderId="12" xfId="55" applyNumberFormat="1" applyFill="1" applyBorder="1" applyAlignment="1" applyProtection="1">
      <alignment horizontal="center"/>
      <protection locked="0"/>
    </xf>
    <xf numFmtId="177" fontId="0" fillId="0" borderId="12" xfId="59" applyNumberFormat="1" applyFont="1" applyFill="1" applyBorder="1" applyAlignment="1" applyProtection="1">
      <alignment horizontal="center"/>
      <protection locked="0"/>
    </xf>
    <xf numFmtId="173" fontId="0" fillId="0" borderId="12" xfId="59" applyNumberFormat="1" applyFont="1" applyFill="1" applyBorder="1" applyAlignment="1" applyProtection="1">
      <alignment horizontal="center"/>
      <protection locked="0"/>
    </xf>
    <xf numFmtId="0" fontId="55" fillId="0" borderId="0" xfId="56" applyFont="1" applyAlignment="1" quotePrefix="1">
      <alignment horizontal="left"/>
      <protection/>
    </xf>
    <xf numFmtId="0" fontId="40" fillId="0" borderId="0" xfId="56">
      <alignment/>
      <protection/>
    </xf>
    <xf numFmtId="0" fontId="55" fillId="0" borderId="0" xfId="56" applyFont="1">
      <alignment/>
      <protection/>
    </xf>
    <xf numFmtId="0" fontId="40" fillId="0" borderId="0" xfId="56" applyAlignment="1">
      <alignment horizontal="right"/>
      <protection/>
    </xf>
    <xf numFmtId="0" fontId="40" fillId="0" borderId="0" xfId="56" applyAlignment="1">
      <alignment horizontal="center"/>
      <protection/>
    </xf>
    <xf numFmtId="0" fontId="40" fillId="0" borderId="11" xfId="56" applyBorder="1" applyAlignment="1">
      <alignment horizontal="center"/>
      <protection/>
    </xf>
    <xf numFmtId="0" fontId="40" fillId="0" borderId="10" xfId="56" applyBorder="1" applyAlignment="1">
      <alignment horizontal="center"/>
      <protection/>
    </xf>
    <xf numFmtId="0" fontId="40" fillId="0" borderId="13" xfId="56" applyBorder="1" applyAlignment="1">
      <alignment horizontal="center"/>
      <protection/>
    </xf>
    <xf numFmtId="0" fontId="40" fillId="0" borderId="15" xfId="56" applyBorder="1" applyAlignment="1">
      <alignment horizontal="center"/>
      <protection/>
    </xf>
    <xf numFmtId="0" fontId="40" fillId="0" borderId="27" xfId="56" applyBorder="1" applyAlignment="1">
      <alignment horizontal="center"/>
      <protection/>
    </xf>
    <xf numFmtId="0" fontId="40" fillId="0" borderId="29" xfId="56" applyBorder="1" applyAlignment="1">
      <alignment horizontal="center"/>
      <protection/>
    </xf>
    <xf numFmtId="0" fontId="40" fillId="0" borderId="28" xfId="56" applyBorder="1" applyAlignment="1">
      <alignment horizontal="center"/>
      <protection/>
    </xf>
    <xf numFmtId="0" fontId="40" fillId="0" borderId="0" xfId="56" applyBorder="1" applyAlignment="1">
      <alignment horizontal="center"/>
      <protection/>
    </xf>
    <xf numFmtId="0" fontId="40" fillId="0" borderId="14" xfId="56" applyBorder="1" applyAlignment="1">
      <alignment horizontal="center"/>
      <protection/>
    </xf>
    <xf numFmtId="2" fontId="40" fillId="0" borderId="0" xfId="56" applyNumberFormat="1" applyAlignment="1">
      <alignment horizontal="center"/>
      <protection/>
    </xf>
    <xf numFmtId="0" fontId="15" fillId="0" borderId="0" xfId="55" applyFont="1">
      <alignment/>
      <protection/>
    </xf>
    <xf numFmtId="0" fontId="0" fillId="0" borderId="27" xfId="55" applyBorder="1" applyAlignment="1">
      <alignment horizontal="center"/>
      <protection/>
    </xf>
    <xf numFmtId="0" fontId="0" fillId="0" borderId="29" xfId="55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8" xfId="55" applyBorder="1" applyAlignment="1">
      <alignment horizontal="center"/>
      <protection/>
    </xf>
    <xf numFmtId="9" fontId="0" fillId="0" borderId="10" xfId="55" applyNumberFormat="1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3" xfId="55" applyBorder="1" applyAlignment="1">
      <alignment horizontal="center"/>
      <protection/>
    </xf>
    <xf numFmtId="9" fontId="0" fillId="0" borderId="15" xfId="55" applyNumberFormat="1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0" fillId="0" borderId="15" xfId="55" applyBorder="1" applyAlignment="1">
      <alignment horizontal="center"/>
      <protection/>
    </xf>
    <xf numFmtId="0" fontId="0" fillId="0" borderId="0" xfId="55" applyAlignment="1" quotePrefix="1">
      <alignment horizontal="right"/>
      <protection/>
    </xf>
    <xf numFmtId="10" fontId="0" fillId="0" borderId="0" xfId="55" applyNumberFormat="1" applyBorder="1" applyAlignment="1">
      <alignment horizontal="center"/>
      <protection/>
    </xf>
    <xf numFmtId="3" fontId="0" fillId="0" borderId="10" xfId="55" applyNumberFormat="1" applyBorder="1" applyAlignment="1">
      <alignment horizontal="center"/>
      <protection/>
    </xf>
    <xf numFmtId="3" fontId="0" fillId="0" borderId="0" xfId="55" applyNumberFormat="1">
      <alignment/>
      <protection/>
    </xf>
    <xf numFmtId="4" fontId="0" fillId="0" borderId="10" xfId="55" applyNumberFormat="1" applyBorder="1" applyAlignment="1">
      <alignment horizontal="center"/>
      <protection/>
    </xf>
    <xf numFmtId="4" fontId="0" fillId="0" borderId="15" xfId="55" applyNumberFormat="1" applyBorder="1" applyAlignment="1">
      <alignment horizontal="center"/>
      <protection/>
    </xf>
    <xf numFmtId="0" fontId="2" fillId="0" borderId="30" xfId="55" applyFont="1" applyBorder="1">
      <alignment/>
      <protection/>
    </xf>
    <xf numFmtId="0" fontId="2" fillId="0" borderId="31" xfId="55" applyFont="1" applyBorder="1" applyAlignment="1" quotePrefix="1">
      <alignment horizontal="left"/>
      <protection/>
    </xf>
    <xf numFmtId="2" fontId="2" fillId="0" borderId="32" xfId="55" applyNumberFormat="1" applyFont="1" applyBorder="1" applyAlignment="1">
      <alignment horizontal="center"/>
      <protection/>
    </xf>
    <xf numFmtId="0" fontId="2" fillId="0" borderId="27" xfId="55" applyFont="1" applyBorder="1">
      <alignment/>
      <protection/>
    </xf>
    <xf numFmtId="0" fontId="0" fillId="0" borderId="28" xfId="55" applyBorder="1">
      <alignment/>
      <protection/>
    </xf>
    <xf numFmtId="2" fontId="0" fillId="0" borderId="28" xfId="55" applyNumberFormat="1" applyBorder="1" applyAlignment="1">
      <alignment horizontal="center"/>
      <protection/>
    </xf>
    <xf numFmtId="172" fontId="0" fillId="0" borderId="29" xfId="55" applyNumberFormat="1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0" xfId="55" applyBorder="1">
      <alignment/>
      <protection/>
    </xf>
    <xf numFmtId="2" fontId="0" fillId="0" borderId="0" xfId="55" applyNumberFormat="1" applyBorder="1" applyAlignment="1">
      <alignment horizontal="center"/>
      <protection/>
    </xf>
    <xf numFmtId="0" fontId="0" fillId="0" borderId="0" xfId="55" applyBorder="1" applyAlignment="1" quotePrefix="1">
      <alignment horizontal="center"/>
      <protection/>
    </xf>
    <xf numFmtId="172" fontId="0" fillId="0" borderId="10" xfId="55" applyNumberFormat="1" applyBorder="1" applyAlignment="1">
      <alignment horizontal="center"/>
      <protection/>
    </xf>
    <xf numFmtId="172" fontId="0" fillId="0" borderId="0" xfId="55" applyNumberFormat="1" applyBorder="1" applyAlignment="1">
      <alignment horizontal="center"/>
      <protection/>
    </xf>
    <xf numFmtId="0" fontId="0" fillId="0" borderId="10" xfId="55" applyBorder="1">
      <alignment/>
      <protection/>
    </xf>
    <xf numFmtId="0" fontId="0" fillId="0" borderId="13" xfId="55" applyBorder="1">
      <alignment/>
      <protection/>
    </xf>
    <xf numFmtId="0" fontId="2" fillId="0" borderId="14" xfId="55" applyFont="1" applyBorder="1" applyAlignment="1" quotePrefix="1">
      <alignment horizontal="left"/>
      <protection/>
    </xf>
    <xf numFmtId="2" fontId="2" fillId="0" borderId="14" xfId="55" applyNumberFormat="1" applyFont="1" applyBorder="1" applyAlignment="1">
      <alignment horizontal="center"/>
      <protection/>
    </xf>
    <xf numFmtId="0" fontId="0" fillId="0" borderId="14" xfId="55" applyBorder="1">
      <alignment/>
      <protection/>
    </xf>
    <xf numFmtId="0" fontId="0" fillId="0" borderId="15" xfId="55" applyBorder="1">
      <alignment/>
      <protection/>
    </xf>
    <xf numFmtId="0" fontId="2" fillId="0" borderId="0" xfId="55" applyFont="1">
      <alignment/>
      <protection/>
    </xf>
    <xf numFmtId="0" fontId="0" fillId="0" borderId="27" xfId="55" applyBorder="1">
      <alignment/>
      <protection/>
    </xf>
    <xf numFmtId="0" fontId="2" fillId="0" borderId="28" xfId="55" applyFont="1" applyBorder="1" applyAlignment="1" quotePrefix="1">
      <alignment horizontal="left"/>
      <protection/>
    </xf>
    <xf numFmtId="2" fontId="2" fillId="0" borderId="29" xfId="55" applyNumberFormat="1" applyFont="1" applyBorder="1" applyAlignment="1">
      <alignment horizontal="center"/>
      <protection/>
    </xf>
    <xf numFmtId="3" fontId="0" fillId="0" borderId="0" xfId="55" applyNumberFormat="1" applyAlignment="1">
      <alignment horizontal="center"/>
      <protection/>
    </xf>
    <xf numFmtId="192" fontId="0" fillId="0" borderId="10" xfId="55" applyNumberFormat="1" applyBorder="1">
      <alignment/>
      <protection/>
    </xf>
    <xf numFmtId="0" fontId="0" fillId="0" borderId="10" xfId="55" applyBorder="1" applyAlignment="1" quotePrefix="1">
      <alignment horizontal="center"/>
      <protection/>
    </xf>
    <xf numFmtId="174" fontId="0" fillId="0" borderId="11" xfId="55" applyNumberFormat="1" applyBorder="1" applyAlignment="1">
      <alignment horizontal="center"/>
      <protection/>
    </xf>
    <xf numFmtId="174" fontId="0" fillId="0" borderId="0" xfId="55" applyNumberFormat="1" applyBorder="1" applyAlignment="1">
      <alignment horizontal="center"/>
      <protection/>
    </xf>
    <xf numFmtId="193" fontId="0" fillId="0" borderId="10" xfId="55" applyNumberFormat="1" applyBorder="1" applyAlignment="1">
      <alignment horizontal="center"/>
      <protection/>
    </xf>
    <xf numFmtId="174" fontId="0" fillId="0" borderId="13" xfId="55" applyNumberFormat="1" applyBorder="1" applyAlignment="1">
      <alignment horizontal="center"/>
      <protection/>
    </xf>
    <xf numFmtId="174" fontId="0" fillId="0" borderId="14" xfId="55" applyNumberFormat="1" applyBorder="1" applyAlignment="1">
      <alignment horizontal="center"/>
      <protection/>
    </xf>
    <xf numFmtId="193" fontId="0" fillId="0" borderId="15" xfId="55" applyNumberFormat="1" applyBorder="1" applyAlignment="1">
      <alignment horizontal="center"/>
      <protection/>
    </xf>
    <xf numFmtId="1" fontId="0" fillId="0" borderId="12" xfId="0" applyNumberFormat="1" applyFill="1" applyBorder="1" applyAlignment="1" applyProtection="1">
      <alignment/>
      <protection locked="0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35" borderId="11" xfId="0" applyFont="1" applyFill="1" applyBorder="1" applyAlignment="1" quotePrefix="1">
      <alignment horizontal="center"/>
    </xf>
    <xf numFmtId="0" fontId="9" fillId="35" borderId="0" xfId="0" applyFont="1" applyFill="1" applyBorder="1" applyAlignment="1" quotePrefix="1">
      <alignment horizontal="center"/>
    </xf>
    <xf numFmtId="0" fontId="9" fillId="35" borderId="10" xfId="0" applyFont="1" applyFill="1" applyBorder="1" applyAlignment="1" quotePrefix="1">
      <alignment horizontal="center"/>
    </xf>
    <xf numFmtId="0" fontId="12" fillId="35" borderId="11" xfId="0" applyFont="1" applyFill="1" applyBorder="1" applyAlignment="1" quotePrefix="1">
      <alignment horizontal="center"/>
    </xf>
    <xf numFmtId="0" fontId="11" fillId="35" borderId="0" xfId="0" applyFont="1" applyFill="1" applyBorder="1" applyAlignment="1" quotePrefix="1">
      <alignment horizontal="center"/>
    </xf>
    <xf numFmtId="0" fontId="11" fillId="35" borderId="10" xfId="0" applyFont="1" applyFill="1" applyBorder="1" applyAlignment="1" quotePrefix="1">
      <alignment horizontal="center"/>
    </xf>
    <xf numFmtId="0" fontId="57" fillId="35" borderId="11" xfId="0" applyFont="1" applyFill="1" applyBorder="1" applyAlignment="1" quotePrefix="1">
      <alignment horizontal="center"/>
    </xf>
    <xf numFmtId="0" fontId="14" fillId="35" borderId="27" xfId="0" applyFont="1" applyFill="1" applyBorder="1" applyAlignment="1" quotePrefix="1">
      <alignment horizontal="center"/>
    </xf>
    <xf numFmtId="0" fontId="14" fillId="35" borderId="28" xfId="0" applyFont="1" applyFill="1" applyBorder="1" applyAlignment="1" quotePrefix="1">
      <alignment horizontal="center"/>
    </xf>
    <xf numFmtId="0" fontId="14" fillId="35" borderId="29" xfId="0" applyFont="1" applyFill="1" applyBorder="1" applyAlignment="1" quotePrefix="1">
      <alignment horizontal="center"/>
    </xf>
    <xf numFmtId="0" fontId="11" fillId="35" borderId="11" xfId="0" applyFont="1" applyFill="1" applyBorder="1" applyAlignment="1" quotePrefix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 quotePrefix="1">
      <alignment horizontal="center"/>
    </xf>
    <xf numFmtId="0" fontId="10" fillId="35" borderId="0" xfId="0" applyFont="1" applyFill="1" applyBorder="1" applyAlignment="1" quotePrefix="1">
      <alignment horizontal="center"/>
    </xf>
    <xf numFmtId="0" fontId="10" fillId="35" borderId="10" xfId="0" applyFont="1" applyFill="1" applyBorder="1" applyAlignment="1" quotePrefix="1">
      <alignment horizontal="center"/>
    </xf>
    <xf numFmtId="0" fontId="0" fillId="34" borderId="20" xfId="55" applyFill="1" applyBorder="1" applyAlignment="1" applyProtection="1">
      <alignment horizontal="center"/>
      <protection/>
    </xf>
    <xf numFmtId="0" fontId="0" fillId="34" borderId="20" xfId="55" applyFill="1" applyBorder="1" applyAlignment="1" applyProtection="1" quotePrefix="1">
      <alignment horizontal="center"/>
      <protection/>
    </xf>
    <xf numFmtId="0" fontId="40" fillId="0" borderId="30" xfId="56" applyBorder="1" applyAlignment="1" quotePrefix="1">
      <alignment horizontal="center"/>
      <protection/>
    </xf>
    <xf numFmtId="0" fontId="40" fillId="0" borderId="32" xfId="56" applyBorder="1" applyAlignment="1" quotePrefix="1">
      <alignment horizontal="center"/>
      <protection/>
    </xf>
    <xf numFmtId="0" fontId="40" fillId="0" borderId="30" xfId="56" applyBorder="1" applyAlignment="1">
      <alignment horizontal="center"/>
      <protection/>
    </xf>
    <xf numFmtId="0" fontId="40" fillId="0" borderId="32" xfId="56" applyBorder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0" fillId="0" borderId="30" xfId="55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025"/>
          <c:w val="0.8955"/>
          <c:h val="0.88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Equity_FX_Indx_Fut_Opts_Calc!$O$3:$O$202</c:f>
              <c:numCache/>
            </c:numRef>
          </c:xVal>
          <c:yVal>
            <c:numRef>
              <c:f>Equity_FX_Indx_Fut_Opts_Calc!$P$3:$P$202</c:f>
              <c:numCache/>
            </c:numRef>
          </c:yVal>
          <c:smooth val="0"/>
        </c:ser>
        <c:axId val="64189510"/>
        <c:axId val="40834679"/>
      </c:scatterChart>
      <c:valAx>
        <c:axId val="64189510"/>
        <c:scaling>
          <c:orientation val="minMax"/>
          <c:max val="6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Strike Price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autoZero"/>
        <c:crossBetween val="midCat"/>
        <c:dispUnits/>
      </c:valAx>
      <c:valAx>
        <c:axId val="4083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Cont. Compounded Hazard Rates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0175"/>
          <c:w val="0.91725"/>
          <c:h val="0.81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MyData!$N$2:$N$31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1.0001</c:v>
                </c:pt>
                <c:pt idx="3">
                  <c:v>2</c:v>
                </c:pt>
                <c:pt idx="4">
                  <c:v>2.0001</c:v>
                </c:pt>
                <c:pt idx="5">
                  <c:v>3</c:v>
                </c:pt>
                <c:pt idx="6">
                  <c:v>3.0001</c:v>
                </c:pt>
                <c:pt idx="7">
                  <c:v>4</c:v>
                </c:pt>
                <c:pt idx="8">
                  <c:v>4.0001</c:v>
                </c:pt>
                <c:pt idx="9">
                  <c:v>5</c:v>
                </c:pt>
                <c:pt idx="10">
                  <c:v>5.001</c:v>
                </c:pt>
                <c:pt idx="11">
                  <c:v>5.5</c:v>
                </c:pt>
                <c:pt idx="12">
                  <c:v>5.75</c:v>
                </c:pt>
                <c:pt idx="13">
                  <c:v>6</c:v>
                </c:pt>
                <c:pt idx="14">
                  <c:v>6.25</c:v>
                </c:pt>
                <c:pt idx="15">
                  <c:v>6.5</c:v>
                </c:pt>
                <c:pt idx="16">
                  <c:v>6.75</c:v>
                </c:pt>
                <c:pt idx="17">
                  <c:v>7</c:v>
                </c:pt>
                <c:pt idx="18">
                  <c:v>7.25</c:v>
                </c:pt>
                <c:pt idx="19">
                  <c:v>7.5</c:v>
                </c:pt>
                <c:pt idx="20">
                  <c:v>7.75</c:v>
                </c:pt>
                <c:pt idx="21">
                  <c:v>8</c:v>
                </c:pt>
                <c:pt idx="22">
                  <c:v>8.25</c:v>
                </c:pt>
                <c:pt idx="23">
                  <c:v>8.5</c:v>
                </c:pt>
                <c:pt idx="24">
                  <c:v>8.75</c:v>
                </c:pt>
                <c:pt idx="25">
                  <c:v>9</c:v>
                </c:pt>
                <c:pt idx="26">
                  <c:v>9.25</c:v>
                </c:pt>
                <c:pt idx="27">
                  <c:v>9.5</c:v>
                </c:pt>
                <c:pt idx="28">
                  <c:v>9.75</c:v>
                </c:pt>
                <c:pt idx="29">
                  <c:v>10</c:v>
                </c:pt>
              </c:numCache>
            </c:numRef>
          </c:xVal>
          <c:yVal>
            <c:numRef>
              <c:f>MyData!$O$2:$O$31</c:f>
              <c:numCache>
                <c:ptCount val="30"/>
                <c:pt idx="0">
                  <c:v>0.008294485851525531</c:v>
                </c:pt>
                <c:pt idx="1">
                  <c:v>0.008294485851525531</c:v>
                </c:pt>
                <c:pt idx="2">
                  <c:v>0.009985382280632072</c:v>
                </c:pt>
                <c:pt idx="3">
                  <c:v>0.009985382280632072</c:v>
                </c:pt>
                <c:pt idx="4">
                  <c:v>0.011741583125227014</c:v>
                </c:pt>
                <c:pt idx="5">
                  <c:v>0.011741583125227014</c:v>
                </c:pt>
                <c:pt idx="6">
                  <c:v>0.013579251192264788</c:v>
                </c:pt>
                <c:pt idx="7">
                  <c:v>0.013579251192264788</c:v>
                </c:pt>
                <c:pt idx="8">
                  <c:v>0.01360513925225151</c:v>
                </c:pt>
                <c:pt idx="9">
                  <c:v>0.01360513925225151</c:v>
                </c:pt>
                <c:pt idx="10">
                  <c:v>0.012048750582617217</c:v>
                </c:pt>
                <c:pt idx="11">
                  <c:v>0.012048750582617217</c:v>
                </c:pt>
                <c:pt idx="12">
                  <c:v>0.012048750582617217</c:v>
                </c:pt>
                <c:pt idx="13">
                  <c:v>0.012048750582617217</c:v>
                </c:pt>
                <c:pt idx="14">
                  <c:v>0.012048750582617217</c:v>
                </c:pt>
                <c:pt idx="15">
                  <c:v>0.012048750582617217</c:v>
                </c:pt>
                <c:pt idx="16">
                  <c:v>0.012048750582617217</c:v>
                </c:pt>
                <c:pt idx="17">
                  <c:v>0.012048750582617217</c:v>
                </c:pt>
                <c:pt idx="18">
                  <c:v>0.012048750582617217</c:v>
                </c:pt>
                <c:pt idx="19">
                  <c:v>0.012048750582617217</c:v>
                </c:pt>
                <c:pt idx="20">
                  <c:v>0.012048750582617217</c:v>
                </c:pt>
                <c:pt idx="21">
                  <c:v>0.012048750582617217</c:v>
                </c:pt>
                <c:pt idx="22">
                  <c:v>0.012048750582617217</c:v>
                </c:pt>
                <c:pt idx="23">
                  <c:v>0.012048750582617217</c:v>
                </c:pt>
                <c:pt idx="24">
                  <c:v>0.012048750582617217</c:v>
                </c:pt>
                <c:pt idx="25">
                  <c:v>0.012048750582617217</c:v>
                </c:pt>
                <c:pt idx="26">
                  <c:v>0.012048750582617217</c:v>
                </c:pt>
                <c:pt idx="27">
                  <c:v>0.012048750582617217</c:v>
                </c:pt>
                <c:pt idx="28">
                  <c:v>0.012048750582617217</c:v>
                </c:pt>
                <c:pt idx="29">
                  <c:v>0.012048750582617217</c:v>
                </c:pt>
              </c:numCache>
            </c:numRef>
          </c:yVal>
          <c:smooth val="0"/>
        </c:ser>
        <c:axId val="31967792"/>
        <c:axId val="19274673"/>
      </c:scatterChart>
      <c:val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(Yrs)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673"/>
        <c:crosses val="autoZero"/>
        <c:crossBetween val="midCat"/>
        <c:dispUnits/>
      </c:valAx>
      <c:valAx>
        <c:axId val="19274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7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8475"/>
          <c:w val="0.9825"/>
          <c:h val="0.84525"/>
        </c:manualLayout>
      </c:layout>
      <c:scatterChart>
        <c:scatterStyle val="line"/>
        <c:varyColors val="0"/>
        <c:ser>
          <c:idx val="0"/>
          <c:order val="0"/>
          <c:tx>
            <c:strRef>
              <c:f>' Value at Risk'!$C$29</c:f>
              <c:strCache>
                <c:ptCount val="1"/>
                <c:pt idx="0">
                  <c:v>Portfolio Value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Value at Risk'!$B$30:$B$1028</c:f>
              <c:numCache/>
            </c:numRef>
          </c:xVal>
          <c:yVal>
            <c:numRef>
              <c:f>' Value at Risk'!$C$30:$C$1028</c:f>
              <c:numCache/>
            </c:numRef>
          </c:yVal>
          <c:smooth val="0"/>
        </c:ser>
        <c:axId val="39254330"/>
        <c:axId val="17744651"/>
      </c:scatterChart>
      <c:val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Asset Price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44651"/>
        <c:crosses val="autoZero"/>
        <c:crossBetween val="midCat"/>
        <c:dispUnits/>
      </c:val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543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161925</xdr:rowOff>
    </xdr:from>
    <xdr:to>
      <xdr:col>13</xdr:col>
      <xdr:colOff>142875</xdr:colOff>
      <xdr:row>50</xdr:row>
      <xdr:rowOff>57150</xdr:rowOff>
    </xdr:to>
    <xdr:graphicFrame>
      <xdr:nvGraphicFramePr>
        <xdr:cNvPr id="1" name="Option Display"/>
        <xdr:cNvGraphicFramePr/>
      </xdr:nvGraphicFramePr>
      <xdr:xfrm>
        <a:off x="9525" y="4238625"/>
        <a:ext cx="73056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38100</xdr:rowOff>
    </xdr:from>
    <xdr:to>
      <xdr:col>2</xdr:col>
      <xdr:colOff>9525</xdr:colOff>
      <xdr:row>21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59055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2</xdr:col>
      <xdr:colOff>9525</xdr:colOff>
      <xdr:row>23</xdr:row>
      <xdr:rowOff>142875</xdr:rowOff>
    </xdr:to>
    <xdr:sp>
      <xdr:nvSpPr>
        <xdr:cNvPr id="2" name="Straight Connector 2"/>
        <xdr:cNvSpPr>
          <a:spLocks/>
        </xdr:cNvSpPr>
      </xdr:nvSpPr>
      <xdr:spPr>
        <a:xfrm>
          <a:off x="59055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38100</xdr:rowOff>
    </xdr:from>
    <xdr:to>
      <xdr:col>4</xdr:col>
      <xdr:colOff>9525</xdr:colOff>
      <xdr:row>23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136207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4</xdr:col>
      <xdr:colOff>9525</xdr:colOff>
      <xdr:row>25</xdr:row>
      <xdr:rowOff>142875</xdr:rowOff>
    </xdr:to>
    <xdr:sp>
      <xdr:nvSpPr>
        <xdr:cNvPr id="4" name="Straight Connector 4"/>
        <xdr:cNvSpPr>
          <a:spLocks/>
        </xdr:cNvSpPr>
      </xdr:nvSpPr>
      <xdr:spPr>
        <a:xfrm>
          <a:off x="136207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38100</xdr:rowOff>
    </xdr:from>
    <xdr:to>
      <xdr:col>4</xdr:col>
      <xdr:colOff>9525</xdr:colOff>
      <xdr:row>19</xdr:row>
      <xdr:rowOff>0</xdr:rowOff>
    </xdr:to>
    <xdr:sp>
      <xdr:nvSpPr>
        <xdr:cNvPr id="5" name="Straight Connector 5"/>
        <xdr:cNvSpPr>
          <a:spLocks/>
        </xdr:cNvSpPr>
      </xdr:nvSpPr>
      <xdr:spPr>
        <a:xfrm flipV="1">
          <a:off x="136207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4</xdr:col>
      <xdr:colOff>9525</xdr:colOff>
      <xdr:row>21</xdr:row>
      <xdr:rowOff>142875</xdr:rowOff>
    </xdr:to>
    <xdr:sp>
      <xdr:nvSpPr>
        <xdr:cNvPr id="6" name="Straight Connector 6"/>
        <xdr:cNvSpPr>
          <a:spLocks/>
        </xdr:cNvSpPr>
      </xdr:nvSpPr>
      <xdr:spPr>
        <a:xfrm>
          <a:off x="136207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38100</xdr:rowOff>
    </xdr:from>
    <xdr:to>
      <xdr:col>6</xdr:col>
      <xdr:colOff>9525</xdr:colOff>
      <xdr:row>25</xdr:row>
      <xdr:rowOff>0</xdr:rowOff>
    </xdr:to>
    <xdr:sp>
      <xdr:nvSpPr>
        <xdr:cNvPr id="7" name="Straight Connector 7"/>
        <xdr:cNvSpPr>
          <a:spLocks/>
        </xdr:cNvSpPr>
      </xdr:nvSpPr>
      <xdr:spPr>
        <a:xfrm flipV="1">
          <a:off x="2133600" y="39243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6</xdr:col>
      <xdr:colOff>9525</xdr:colOff>
      <xdr:row>27</xdr:row>
      <xdr:rowOff>142875</xdr:rowOff>
    </xdr:to>
    <xdr:sp>
      <xdr:nvSpPr>
        <xdr:cNvPr id="8" name="Straight Connector 8"/>
        <xdr:cNvSpPr>
          <a:spLocks/>
        </xdr:cNvSpPr>
      </xdr:nvSpPr>
      <xdr:spPr>
        <a:xfrm>
          <a:off x="2133600" y="43815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6</xdr:col>
      <xdr:colOff>9525</xdr:colOff>
      <xdr:row>21</xdr:row>
      <xdr:rowOff>0</xdr:rowOff>
    </xdr:to>
    <xdr:sp>
      <xdr:nvSpPr>
        <xdr:cNvPr id="9" name="Straight Connector 9"/>
        <xdr:cNvSpPr>
          <a:spLocks/>
        </xdr:cNvSpPr>
      </xdr:nvSpPr>
      <xdr:spPr>
        <a:xfrm flipV="1">
          <a:off x="213360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6</xdr:col>
      <xdr:colOff>9525</xdr:colOff>
      <xdr:row>23</xdr:row>
      <xdr:rowOff>142875</xdr:rowOff>
    </xdr:to>
    <xdr:sp>
      <xdr:nvSpPr>
        <xdr:cNvPr id="10" name="Straight Connector 10"/>
        <xdr:cNvSpPr>
          <a:spLocks/>
        </xdr:cNvSpPr>
      </xdr:nvSpPr>
      <xdr:spPr>
        <a:xfrm>
          <a:off x="213360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38100</xdr:rowOff>
    </xdr:from>
    <xdr:to>
      <xdr:col>6</xdr:col>
      <xdr:colOff>9525</xdr:colOff>
      <xdr:row>17</xdr:row>
      <xdr:rowOff>0</xdr:rowOff>
    </xdr:to>
    <xdr:sp>
      <xdr:nvSpPr>
        <xdr:cNvPr id="11" name="Straight Connector 11"/>
        <xdr:cNvSpPr>
          <a:spLocks/>
        </xdr:cNvSpPr>
      </xdr:nvSpPr>
      <xdr:spPr>
        <a:xfrm flipV="1">
          <a:off x="2133600" y="26289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6</xdr:col>
      <xdr:colOff>9525</xdr:colOff>
      <xdr:row>19</xdr:row>
      <xdr:rowOff>142875</xdr:rowOff>
    </xdr:to>
    <xdr:sp>
      <xdr:nvSpPr>
        <xdr:cNvPr id="12" name="Straight Connector 12"/>
        <xdr:cNvSpPr>
          <a:spLocks/>
        </xdr:cNvSpPr>
      </xdr:nvSpPr>
      <xdr:spPr>
        <a:xfrm>
          <a:off x="2133600" y="30861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38100</xdr:rowOff>
    </xdr:from>
    <xdr:to>
      <xdr:col>8</xdr:col>
      <xdr:colOff>9525</xdr:colOff>
      <xdr:row>27</xdr:row>
      <xdr:rowOff>0</xdr:rowOff>
    </xdr:to>
    <xdr:sp>
      <xdr:nvSpPr>
        <xdr:cNvPr id="13" name="Straight Connector 13"/>
        <xdr:cNvSpPr>
          <a:spLocks/>
        </xdr:cNvSpPr>
      </xdr:nvSpPr>
      <xdr:spPr>
        <a:xfrm flipV="1">
          <a:off x="2905125" y="42481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9525</xdr:rowOff>
    </xdr:from>
    <xdr:to>
      <xdr:col>8</xdr:col>
      <xdr:colOff>9525</xdr:colOff>
      <xdr:row>29</xdr:row>
      <xdr:rowOff>142875</xdr:rowOff>
    </xdr:to>
    <xdr:sp>
      <xdr:nvSpPr>
        <xdr:cNvPr id="14" name="Straight Connector 14"/>
        <xdr:cNvSpPr>
          <a:spLocks/>
        </xdr:cNvSpPr>
      </xdr:nvSpPr>
      <xdr:spPr>
        <a:xfrm>
          <a:off x="2905125" y="4705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38100</xdr:rowOff>
    </xdr:from>
    <xdr:to>
      <xdr:col>8</xdr:col>
      <xdr:colOff>9525</xdr:colOff>
      <xdr:row>23</xdr:row>
      <xdr:rowOff>0</xdr:rowOff>
    </xdr:to>
    <xdr:sp>
      <xdr:nvSpPr>
        <xdr:cNvPr id="15" name="Straight Connector 15"/>
        <xdr:cNvSpPr>
          <a:spLocks/>
        </xdr:cNvSpPr>
      </xdr:nvSpPr>
      <xdr:spPr>
        <a:xfrm flipV="1">
          <a:off x="290512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9525</xdr:rowOff>
    </xdr:from>
    <xdr:to>
      <xdr:col>8</xdr:col>
      <xdr:colOff>9525</xdr:colOff>
      <xdr:row>25</xdr:row>
      <xdr:rowOff>142875</xdr:rowOff>
    </xdr:to>
    <xdr:sp>
      <xdr:nvSpPr>
        <xdr:cNvPr id="16" name="Straight Connector 16"/>
        <xdr:cNvSpPr>
          <a:spLocks/>
        </xdr:cNvSpPr>
      </xdr:nvSpPr>
      <xdr:spPr>
        <a:xfrm>
          <a:off x="290512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38100</xdr:rowOff>
    </xdr:from>
    <xdr:to>
      <xdr:col>8</xdr:col>
      <xdr:colOff>9525</xdr:colOff>
      <xdr:row>19</xdr:row>
      <xdr:rowOff>0</xdr:rowOff>
    </xdr:to>
    <xdr:sp>
      <xdr:nvSpPr>
        <xdr:cNvPr id="17" name="Straight Connector 17"/>
        <xdr:cNvSpPr>
          <a:spLocks/>
        </xdr:cNvSpPr>
      </xdr:nvSpPr>
      <xdr:spPr>
        <a:xfrm flipV="1">
          <a:off x="290512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</xdr:rowOff>
    </xdr:from>
    <xdr:to>
      <xdr:col>8</xdr:col>
      <xdr:colOff>9525</xdr:colOff>
      <xdr:row>21</xdr:row>
      <xdr:rowOff>142875</xdr:rowOff>
    </xdr:to>
    <xdr:sp>
      <xdr:nvSpPr>
        <xdr:cNvPr id="18" name="Straight Connector 18"/>
        <xdr:cNvSpPr>
          <a:spLocks/>
        </xdr:cNvSpPr>
      </xdr:nvSpPr>
      <xdr:spPr>
        <a:xfrm>
          <a:off x="290512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38100</xdr:rowOff>
    </xdr:from>
    <xdr:to>
      <xdr:col>8</xdr:col>
      <xdr:colOff>9525</xdr:colOff>
      <xdr:row>15</xdr:row>
      <xdr:rowOff>0</xdr:rowOff>
    </xdr:to>
    <xdr:sp>
      <xdr:nvSpPr>
        <xdr:cNvPr id="19" name="Straight Connector 19"/>
        <xdr:cNvSpPr>
          <a:spLocks/>
        </xdr:cNvSpPr>
      </xdr:nvSpPr>
      <xdr:spPr>
        <a:xfrm flipV="1">
          <a:off x="2905125" y="23050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9525</xdr:rowOff>
    </xdr:from>
    <xdr:to>
      <xdr:col>8</xdr:col>
      <xdr:colOff>9525</xdr:colOff>
      <xdr:row>17</xdr:row>
      <xdr:rowOff>142875</xdr:rowOff>
    </xdr:to>
    <xdr:sp>
      <xdr:nvSpPr>
        <xdr:cNvPr id="20" name="Straight Connector 20"/>
        <xdr:cNvSpPr>
          <a:spLocks/>
        </xdr:cNvSpPr>
      </xdr:nvSpPr>
      <xdr:spPr>
        <a:xfrm>
          <a:off x="2905125" y="2762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38100</xdr:rowOff>
    </xdr:from>
    <xdr:to>
      <xdr:col>10</xdr:col>
      <xdr:colOff>9525</xdr:colOff>
      <xdr:row>29</xdr:row>
      <xdr:rowOff>0</xdr:rowOff>
    </xdr:to>
    <xdr:sp>
      <xdr:nvSpPr>
        <xdr:cNvPr id="21" name="Straight Connector 21"/>
        <xdr:cNvSpPr>
          <a:spLocks/>
        </xdr:cNvSpPr>
      </xdr:nvSpPr>
      <xdr:spPr>
        <a:xfrm flipV="1">
          <a:off x="3676650" y="45720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</xdr:rowOff>
    </xdr:from>
    <xdr:to>
      <xdr:col>10</xdr:col>
      <xdr:colOff>9525</xdr:colOff>
      <xdr:row>31</xdr:row>
      <xdr:rowOff>142875</xdr:rowOff>
    </xdr:to>
    <xdr:sp>
      <xdr:nvSpPr>
        <xdr:cNvPr id="22" name="Straight Connector 22"/>
        <xdr:cNvSpPr>
          <a:spLocks/>
        </xdr:cNvSpPr>
      </xdr:nvSpPr>
      <xdr:spPr>
        <a:xfrm>
          <a:off x="3676650" y="50292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38100</xdr:rowOff>
    </xdr:from>
    <xdr:to>
      <xdr:col>10</xdr:col>
      <xdr:colOff>9525</xdr:colOff>
      <xdr:row>25</xdr:row>
      <xdr:rowOff>0</xdr:rowOff>
    </xdr:to>
    <xdr:sp>
      <xdr:nvSpPr>
        <xdr:cNvPr id="23" name="Straight Connector 23"/>
        <xdr:cNvSpPr>
          <a:spLocks/>
        </xdr:cNvSpPr>
      </xdr:nvSpPr>
      <xdr:spPr>
        <a:xfrm flipV="1">
          <a:off x="3676650" y="39243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10</xdr:col>
      <xdr:colOff>9525</xdr:colOff>
      <xdr:row>27</xdr:row>
      <xdr:rowOff>142875</xdr:rowOff>
    </xdr:to>
    <xdr:sp>
      <xdr:nvSpPr>
        <xdr:cNvPr id="24" name="Straight Connector 24"/>
        <xdr:cNvSpPr>
          <a:spLocks/>
        </xdr:cNvSpPr>
      </xdr:nvSpPr>
      <xdr:spPr>
        <a:xfrm>
          <a:off x="3676650" y="43815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38100</xdr:rowOff>
    </xdr:from>
    <xdr:to>
      <xdr:col>10</xdr:col>
      <xdr:colOff>9525</xdr:colOff>
      <xdr:row>21</xdr:row>
      <xdr:rowOff>0</xdr:rowOff>
    </xdr:to>
    <xdr:sp>
      <xdr:nvSpPr>
        <xdr:cNvPr id="25" name="Straight Connector 25"/>
        <xdr:cNvSpPr>
          <a:spLocks/>
        </xdr:cNvSpPr>
      </xdr:nvSpPr>
      <xdr:spPr>
        <a:xfrm flipV="1">
          <a:off x="367665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10</xdr:col>
      <xdr:colOff>9525</xdr:colOff>
      <xdr:row>23</xdr:row>
      <xdr:rowOff>142875</xdr:rowOff>
    </xdr:to>
    <xdr:sp>
      <xdr:nvSpPr>
        <xdr:cNvPr id="26" name="Straight Connector 26"/>
        <xdr:cNvSpPr>
          <a:spLocks/>
        </xdr:cNvSpPr>
      </xdr:nvSpPr>
      <xdr:spPr>
        <a:xfrm>
          <a:off x="367665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38100</xdr:rowOff>
    </xdr:from>
    <xdr:to>
      <xdr:col>10</xdr:col>
      <xdr:colOff>9525</xdr:colOff>
      <xdr:row>17</xdr:row>
      <xdr:rowOff>0</xdr:rowOff>
    </xdr:to>
    <xdr:sp>
      <xdr:nvSpPr>
        <xdr:cNvPr id="27" name="Straight Connector 27"/>
        <xdr:cNvSpPr>
          <a:spLocks/>
        </xdr:cNvSpPr>
      </xdr:nvSpPr>
      <xdr:spPr>
        <a:xfrm flipV="1">
          <a:off x="3676650" y="26289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10</xdr:col>
      <xdr:colOff>9525</xdr:colOff>
      <xdr:row>19</xdr:row>
      <xdr:rowOff>142875</xdr:rowOff>
    </xdr:to>
    <xdr:sp>
      <xdr:nvSpPr>
        <xdr:cNvPr id="28" name="Straight Connector 28"/>
        <xdr:cNvSpPr>
          <a:spLocks/>
        </xdr:cNvSpPr>
      </xdr:nvSpPr>
      <xdr:spPr>
        <a:xfrm>
          <a:off x="3676650" y="30861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</xdr:rowOff>
    </xdr:from>
    <xdr:to>
      <xdr:col>10</xdr:col>
      <xdr:colOff>9525</xdr:colOff>
      <xdr:row>13</xdr:row>
      <xdr:rowOff>0</xdr:rowOff>
    </xdr:to>
    <xdr:sp>
      <xdr:nvSpPr>
        <xdr:cNvPr id="29" name="Straight Connector 29"/>
        <xdr:cNvSpPr>
          <a:spLocks/>
        </xdr:cNvSpPr>
      </xdr:nvSpPr>
      <xdr:spPr>
        <a:xfrm flipV="1">
          <a:off x="3676650" y="19812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10</xdr:col>
      <xdr:colOff>9525</xdr:colOff>
      <xdr:row>15</xdr:row>
      <xdr:rowOff>142875</xdr:rowOff>
    </xdr:to>
    <xdr:sp>
      <xdr:nvSpPr>
        <xdr:cNvPr id="30" name="Straight Connector 30"/>
        <xdr:cNvSpPr>
          <a:spLocks/>
        </xdr:cNvSpPr>
      </xdr:nvSpPr>
      <xdr:spPr>
        <a:xfrm>
          <a:off x="3676650" y="2438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38100</xdr:rowOff>
    </xdr:from>
    <xdr:to>
      <xdr:col>12</xdr:col>
      <xdr:colOff>9525</xdr:colOff>
      <xdr:row>31</xdr:row>
      <xdr:rowOff>0</xdr:rowOff>
    </xdr:to>
    <xdr:sp>
      <xdr:nvSpPr>
        <xdr:cNvPr id="31" name="Straight Connector 3651033"/>
        <xdr:cNvSpPr>
          <a:spLocks/>
        </xdr:cNvSpPr>
      </xdr:nvSpPr>
      <xdr:spPr>
        <a:xfrm flipV="1">
          <a:off x="4448175" y="48958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9525</xdr:rowOff>
    </xdr:from>
    <xdr:to>
      <xdr:col>12</xdr:col>
      <xdr:colOff>9525</xdr:colOff>
      <xdr:row>33</xdr:row>
      <xdr:rowOff>142875</xdr:rowOff>
    </xdr:to>
    <xdr:sp>
      <xdr:nvSpPr>
        <xdr:cNvPr id="32" name="Straight Connector 3651034"/>
        <xdr:cNvSpPr>
          <a:spLocks/>
        </xdr:cNvSpPr>
      </xdr:nvSpPr>
      <xdr:spPr>
        <a:xfrm>
          <a:off x="4448175" y="53530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38100</xdr:rowOff>
    </xdr:from>
    <xdr:to>
      <xdr:col>12</xdr:col>
      <xdr:colOff>9525</xdr:colOff>
      <xdr:row>27</xdr:row>
      <xdr:rowOff>0</xdr:rowOff>
    </xdr:to>
    <xdr:sp>
      <xdr:nvSpPr>
        <xdr:cNvPr id="33" name="Straight Connector 3651035"/>
        <xdr:cNvSpPr>
          <a:spLocks/>
        </xdr:cNvSpPr>
      </xdr:nvSpPr>
      <xdr:spPr>
        <a:xfrm flipV="1">
          <a:off x="4448175" y="42481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9525</xdr:rowOff>
    </xdr:from>
    <xdr:to>
      <xdr:col>12</xdr:col>
      <xdr:colOff>9525</xdr:colOff>
      <xdr:row>29</xdr:row>
      <xdr:rowOff>142875</xdr:rowOff>
    </xdr:to>
    <xdr:sp>
      <xdr:nvSpPr>
        <xdr:cNvPr id="34" name="Straight Connector 3651036"/>
        <xdr:cNvSpPr>
          <a:spLocks/>
        </xdr:cNvSpPr>
      </xdr:nvSpPr>
      <xdr:spPr>
        <a:xfrm>
          <a:off x="4448175" y="4705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38100</xdr:rowOff>
    </xdr:from>
    <xdr:to>
      <xdr:col>12</xdr:col>
      <xdr:colOff>9525</xdr:colOff>
      <xdr:row>23</xdr:row>
      <xdr:rowOff>0</xdr:rowOff>
    </xdr:to>
    <xdr:sp>
      <xdr:nvSpPr>
        <xdr:cNvPr id="35" name="Straight Connector 3651037"/>
        <xdr:cNvSpPr>
          <a:spLocks/>
        </xdr:cNvSpPr>
      </xdr:nvSpPr>
      <xdr:spPr>
        <a:xfrm flipV="1">
          <a:off x="444817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9525</xdr:rowOff>
    </xdr:from>
    <xdr:to>
      <xdr:col>12</xdr:col>
      <xdr:colOff>9525</xdr:colOff>
      <xdr:row>25</xdr:row>
      <xdr:rowOff>142875</xdr:rowOff>
    </xdr:to>
    <xdr:sp>
      <xdr:nvSpPr>
        <xdr:cNvPr id="36" name="Straight Connector 3651038"/>
        <xdr:cNvSpPr>
          <a:spLocks/>
        </xdr:cNvSpPr>
      </xdr:nvSpPr>
      <xdr:spPr>
        <a:xfrm>
          <a:off x="444817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38100</xdr:rowOff>
    </xdr:from>
    <xdr:to>
      <xdr:col>12</xdr:col>
      <xdr:colOff>9525</xdr:colOff>
      <xdr:row>19</xdr:row>
      <xdr:rowOff>0</xdr:rowOff>
    </xdr:to>
    <xdr:sp>
      <xdr:nvSpPr>
        <xdr:cNvPr id="37" name="Straight Connector 971775"/>
        <xdr:cNvSpPr>
          <a:spLocks/>
        </xdr:cNvSpPr>
      </xdr:nvSpPr>
      <xdr:spPr>
        <a:xfrm flipV="1">
          <a:off x="444817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9525</xdr:rowOff>
    </xdr:from>
    <xdr:to>
      <xdr:col>12</xdr:col>
      <xdr:colOff>9525</xdr:colOff>
      <xdr:row>21</xdr:row>
      <xdr:rowOff>142875</xdr:rowOff>
    </xdr:to>
    <xdr:sp>
      <xdr:nvSpPr>
        <xdr:cNvPr id="38" name="Straight Connector 971776"/>
        <xdr:cNvSpPr>
          <a:spLocks/>
        </xdr:cNvSpPr>
      </xdr:nvSpPr>
      <xdr:spPr>
        <a:xfrm>
          <a:off x="444817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38100</xdr:rowOff>
    </xdr:from>
    <xdr:to>
      <xdr:col>12</xdr:col>
      <xdr:colOff>9525</xdr:colOff>
      <xdr:row>15</xdr:row>
      <xdr:rowOff>0</xdr:rowOff>
    </xdr:to>
    <xdr:sp>
      <xdr:nvSpPr>
        <xdr:cNvPr id="39" name="Straight Connector 971777"/>
        <xdr:cNvSpPr>
          <a:spLocks/>
        </xdr:cNvSpPr>
      </xdr:nvSpPr>
      <xdr:spPr>
        <a:xfrm flipV="1">
          <a:off x="4448175" y="23050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9525</xdr:rowOff>
    </xdr:from>
    <xdr:to>
      <xdr:col>12</xdr:col>
      <xdr:colOff>9525</xdr:colOff>
      <xdr:row>17</xdr:row>
      <xdr:rowOff>142875</xdr:rowOff>
    </xdr:to>
    <xdr:sp>
      <xdr:nvSpPr>
        <xdr:cNvPr id="40" name="Straight Connector 971778"/>
        <xdr:cNvSpPr>
          <a:spLocks/>
        </xdr:cNvSpPr>
      </xdr:nvSpPr>
      <xdr:spPr>
        <a:xfrm>
          <a:off x="4448175" y="2762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38100</xdr:rowOff>
    </xdr:from>
    <xdr:to>
      <xdr:col>12</xdr:col>
      <xdr:colOff>9525</xdr:colOff>
      <xdr:row>11</xdr:row>
      <xdr:rowOff>0</xdr:rowOff>
    </xdr:to>
    <xdr:sp>
      <xdr:nvSpPr>
        <xdr:cNvPr id="41" name="Straight Connector 971779"/>
        <xdr:cNvSpPr>
          <a:spLocks/>
        </xdr:cNvSpPr>
      </xdr:nvSpPr>
      <xdr:spPr>
        <a:xfrm flipV="1">
          <a:off x="4448175" y="16573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</xdr:rowOff>
    </xdr:from>
    <xdr:to>
      <xdr:col>12</xdr:col>
      <xdr:colOff>9525</xdr:colOff>
      <xdr:row>13</xdr:row>
      <xdr:rowOff>142875</xdr:rowOff>
    </xdr:to>
    <xdr:sp>
      <xdr:nvSpPr>
        <xdr:cNvPr id="42" name="Straight Connector 971780"/>
        <xdr:cNvSpPr>
          <a:spLocks/>
        </xdr:cNvSpPr>
      </xdr:nvSpPr>
      <xdr:spPr>
        <a:xfrm>
          <a:off x="4448175" y="21145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38100</xdr:rowOff>
    </xdr:from>
    <xdr:to>
      <xdr:col>14</xdr:col>
      <xdr:colOff>9525</xdr:colOff>
      <xdr:row>33</xdr:row>
      <xdr:rowOff>0</xdr:rowOff>
    </xdr:to>
    <xdr:sp>
      <xdr:nvSpPr>
        <xdr:cNvPr id="43" name="Straight Connector 971781"/>
        <xdr:cNvSpPr>
          <a:spLocks/>
        </xdr:cNvSpPr>
      </xdr:nvSpPr>
      <xdr:spPr>
        <a:xfrm flipV="1">
          <a:off x="5219700" y="52197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</xdr:rowOff>
    </xdr:from>
    <xdr:to>
      <xdr:col>14</xdr:col>
      <xdr:colOff>9525</xdr:colOff>
      <xdr:row>35</xdr:row>
      <xdr:rowOff>142875</xdr:rowOff>
    </xdr:to>
    <xdr:sp>
      <xdr:nvSpPr>
        <xdr:cNvPr id="44" name="Straight Connector 971782"/>
        <xdr:cNvSpPr>
          <a:spLocks/>
        </xdr:cNvSpPr>
      </xdr:nvSpPr>
      <xdr:spPr>
        <a:xfrm>
          <a:off x="5219700" y="56769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38100</xdr:rowOff>
    </xdr:from>
    <xdr:to>
      <xdr:col>14</xdr:col>
      <xdr:colOff>9525</xdr:colOff>
      <xdr:row>29</xdr:row>
      <xdr:rowOff>0</xdr:rowOff>
    </xdr:to>
    <xdr:sp>
      <xdr:nvSpPr>
        <xdr:cNvPr id="45" name="Straight Connector 971783"/>
        <xdr:cNvSpPr>
          <a:spLocks/>
        </xdr:cNvSpPr>
      </xdr:nvSpPr>
      <xdr:spPr>
        <a:xfrm flipV="1">
          <a:off x="5219700" y="45720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9525</xdr:rowOff>
    </xdr:from>
    <xdr:to>
      <xdr:col>14</xdr:col>
      <xdr:colOff>9525</xdr:colOff>
      <xdr:row>31</xdr:row>
      <xdr:rowOff>142875</xdr:rowOff>
    </xdr:to>
    <xdr:sp>
      <xdr:nvSpPr>
        <xdr:cNvPr id="46" name="Straight Connector 971784"/>
        <xdr:cNvSpPr>
          <a:spLocks/>
        </xdr:cNvSpPr>
      </xdr:nvSpPr>
      <xdr:spPr>
        <a:xfrm>
          <a:off x="5219700" y="50292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38100</xdr:rowOff>
    </xdr:from>
    <xdr:to>
      <xdr:col>14</xdr:col>
      <xdr:colOff>9525</xdr:colOff>
      <xdr:row>25</xdr:row>
      <xdr:rowOff>0</xdr:rowOff>
    </xdr:to>
    <xdr:sp>
      <xdr:nvSpPr>
        <xdr:cNvPr id="47" name="Straight Connector 971785"/>
        <xdr:cNvSpPr>
          <a:spLocks/>
        </xdr:cNvSpPr>
      </xdr:nvSpPr>
      <xdr:spPr>
        <a:xfrm flipV="1">
          <a:off x="5219700" y="39243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9525</xdr:rowOff>
    </xdr:from>
    <xdr:to>
      <xdr:col>14</xdr:col>
      <xdr:colOff>9525</xdr:colOff>
      <xdr:row>27</xdr:row>
      <xdr:rowOff>142875</xdr:rowOff>
    </xdr:to>
    <xdr:sp>
      <xdr:nvSpPr>
        <xdr:cNvPr id="48" name="Straight Connector 971786"/>
        <xdr:cNvSpPr>
          <a:spLocks/>
        </xdr:cNvSpPr>
      </xdr:nvSpPr>
      <xdr:spPr>
        <a:xfrm>
          <a:off x="5219700" y="43815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38100</xdr:rowOff>
    </xdr:from>
    <xdr:to>
      <xdr:col>14</xdr:col>
      <xdr:colOff>9525</xdr:colOff>
      <xdr:row>21</xdr:row>
      <xdr:rowOff>0</xdr:rowOff>
    </xdr:to>
    <xdr:sp>
      <xdr:nvSpPr>
        <xdr:cNvPr id="49" name="Straight Connector 971787"/>
        <xdr:cNvSpPr>
          <a:spLocks/>
        </xdr:cNvSpPr>
      </xdr:nvSpPr>
      <xdr:spPr>
        <a:xfrm flipV="1">
          <a:off x="521970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</xdr:rowOff>
    </xdr:from>
    <xdr:to>
      <xdr:col>14</xdr:col>
      <xdr:colOff>9525</xdr:colOff>
      <xdr:row>23</xdr:row>
      <xdr:rowOff>142875</xdr:rowOff>
    </xdr:to>
    <xdr:sp>
      <xdr:nvSpPr>
        <xdr:cNvPr id="50" name="Straight Connector 971788"/>
        <xdr:cNvSpPr>
          <a:spLocks/>
        </xdr:cNvSpPr>
      </xdr:nvSpPr>
      <xdr:spPr>
        <a:xfrm>
          <a:off x="521970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38100</xdr:rowOff>
    </xdr:from>
    <xdr:to>
      <xdr:col>14</xdr:col>
      <xdr:colOff>9525</xdr:colOff>
      <xdr:row>17</xdr:row>
      <xdr:rowOff>0</xdr:rowOff>
    </xdr:to>
    <xdr:sp>
      <xdr:nvSpPr>
        <xdr:cNvPr id="51" name="Straight Connector 971789"/>
        <xdr:cNvSpPr>
          <a:spLocks/>
        </xdr:cNvSpPr>
      </xdr:nvSpPr>
      <xdr:spPr>
        <a:xfrm flipV="1">
          <a:off x="5219700" y="26289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14</xdr:col>
      <xdr:colOff>9525</xdr:colOff>
      <xdr:row>19</xdr:row>
      <xdr:rowOff>142875</xdr:rowOff>
    </xdr:to>
    <xdr:sp>
      <xdr:nvSpPr>
        <xdr:cNvPr id="52" name="Straight Connector 971790"/>
        <xdr:cNvSpPr>
          <a:spLocks/>
        </xdr:cNvSpPr>
      </xdr:nvSpPr>
      <xdr:spPr>
        <a:xfrm>
          <a:off x="5219700" y="30861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38100</xdr:rowOff>
    </xdr:from>
    <xdr:to>
      <xdr:col>14</xdr:col>
      <xdr:colOff>9525</xdr:colOff>
      <xdr:row>13</xdr:row>
      <xdr:rowOff>0</xdr:rowOff>
    </xdr:to>
    <xdr:sp>
      <xdr:nvSpPr>
        <xdr:cNvPr id="53" name="Straight Connector 971791"/>
        <xdr:cNvSpPr>
          <a:spLocks/>
        </xdr:cNvSpPr>
      </xdr:nvSpPr>
      <xdr:spPr>
        <a:xfrm flipV="1">
          <a:off x="5219700" y="19812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14</xdr:col>
      <xdr:colOff>9525</xdr:colOff>
      <xdr:row>15</xdr:row>
      <xdr:rowOff>142875</xdr:rowOff>
    </xdr:to>
    <xdr:sp>
      <xdr:nvSpPr>
        <xdr:cNvPr id="54" name="Straight Connector 971792"/>
        <xdr:cNvSpPr>
          <a:spLocks/>
        </xdr:cNvSpPr>
      </xdr:nvSpPr>
      <xdr:spPr>
        <a:xfrm>
          <a:off x="5219700" y="2438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38100</xdr:rowOff>
    </xdr:from>
    <xdr:to>
      <xdr:col>14</xdr:col>
      <xdr:colOff>9525</xdr:colOff>
      <xdr:row>9</xdr:row>
      <xdr:rowOff>0</xdr:rowOff>
    </xdr:to>
    <xdr:sp>
      <xdr:nvSpPr>
        <xdr:cNvPr id="55" name="Straight Connector 971793"/>
        <xdr:cNvSpPr>
          <a:spLocks/>
        </xdr:cNvSpPr>
      </xdr:nvSpPr>
      <xdr:spPr>
        <a:xfrm flipV="1">
          <a:off x="5219700" y="13335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14</xdr:col>
      <xdr:colOff>9525</xdr:colOff>
      <xdr:row>11</xdr:row>
      <xdr:rowOff>142875</xdr:rowOff>
    </xdr:to>
    <xdr:sp>
      <xdr:nvSpPr>
        <xdr:cNvPr id="56" name="Straight Connector 971794"/>
        <xdr:cNvSpPr>
          <a:spLocks/>
        </xdr:cNvSpPr>
      </xdr:nvSpPr>
      <xdr:spPr>
        <a:xfrm>
          <a:off x="5219700" y="17907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38100</xdr:rowOff>
    </xdr:from>
    <xdr:to>
      <xdr:col>16</xdr:col>
      <xdr:colOff>9525</xdr:colOff>
      <xdr:row>35</xdr:row>
      <xdr:rowOff>0</xdr:rowOff>
    </xdr:to>
    <xdr:sp>
      <xdr:nvSpPr>
        <xdr:cNvPr id="57" name="Straight Connector 971795"/>
        <xdr:cNvSpPr>
          <a:spLocks/>
        </xdr:cNvSpPr>
      </xdr:nvSpPr>
      <xdr:spPr>
        <a:xfrm flipV="1">
          <a:off x="5991225" y="55435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</xdr:rowOff>
    </xdr:from>
    <xdr:to>
      <xdr:col>16</xdr:col>
      <xdr:colOff>9525</xdr:colOff>
      <xdr:row>37</xdr:row>
      <xdr:rowOff>142875</xdr:rowOff>
    </xdr:to>
    <xdr:sp>
      <xdr:nvSpPr>
        <xdr:cNvPr id="58" name="Straight Connector 971796"/>
        <xdr:cNvSpPr>
          <a:spLocks/>
        </xdr:cNvSpPr>
      </xdr:nvSpPr>
      <xdr:spPr>
        <a:xfrm>
          <a:off x="5991225" y="60007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38100</xdr:rowOff>
    </xdr:from>
    <xdr:to>
      <xdr:col>16</xdr:col>
      <xdr:colOff>9525</xdr:colOff>
      <xdr:row>31</xdr:row>
      <xdr:rowOff>0</xdr:rowOff>
    </xdr:to>
    <xdr:sp>
      <xdr:nvSpPr>
        <xdr:cNvPr id="59" name="Straight Connector 971797"/>
        <xdr:cNvSpPr>
          <a:spLocks/>
        </xdr:cNvSpPr>
      </xdr:nvSpPr>
      <xdr:spPr>
        <a:xfrm flipV="1">
          <a:off x="5991225" y="48958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9525</xdr:rowOff>
    </xdr:from>
    <xdr:to>
      <xdr:col>16</xdr:col>
      <xdr:colOff>9525</xdr:colOff>
      <xdr:row>33</xdr:row>
      <xdr:rowOff>142875</xdr:rowOff>
    </xdr:to>
    <xdr:sp>
      <xdr:nvSpPr>
        <xdr:cNvPr id="60" name="Straight Connector 971798"/>
        <xdr:cNvSpPr>
          <a:spLocks/>
        </xdr:cNvSpPr>
      </xdr:nvSpPr>
      <xdr:spPr>
        <a:xfrm>
          <a:off x="5991225" y="53530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38100</xdr:rowOff>
    </xdr:from>
    <xdr:to>
      <xdr:col>16</xdr:col>
      <xdr:colOff>9525</xdr:colOff>
      <xdr:row>27</xdr:row>
      <xdr:rowOff>0</xdr:rowOff>
    </xdr:to>
    <xdr:sp>
      <xdr:nvSpPr>
        <xdr:cNvPr id="61" name="Straight Connector 971799"/>
        <xdr:cNvSpPr>
          <a:spLocks/>
        </xdr:cNvSpPr>
      </xdr:nvSpPr>
      <xdr:spPr>
        <a:xfrm flipV="1">
          <a:off x="5991225" y="42481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16</xdr:col>
      <xdr:colOff>9525</xdr:colOff>
      <xdr:row>29</xdr:row>
      <xdr:rowOff>142875</xdr:rowOff>
    </xdr:to>
    <xdr:sp>
      <xdr:nvSpPr>
        <xdr:cNvPr id="62" name="Straight Connector 971800"/>
        <xdr:cNvSpPr>
          <a:spLocks/>
        </xdr:cNvSpPr>
      </xdr:nvSpPr>
      <xdr:spPr>
        <a:xfrm>
          <a:off x="5991225" y="4705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38100</xdr:rowOff>
    </xdr:from>
    <xdr:to>
      <xdr:col>16</xdr:col>
      <xdr:colOff>9525</xdr:colOff>
      <xdr:row>23</xdr:row>
      <xdr:rowOff>0</xdr:rowOff>
    </xdr:to>
    <xdr:sp>
      <xdr:nvSpPr>
        <xdr:cNvPr id="63" name="Straight Connector 971801"/>
        <xdr:cNvSpPr>
          <a:spLocks/>
        </xdr:cNvSpPr>
      </xdr:nvSpPr>
      <xdr:spPr>
        <a:xfrm flipV="1">
          <a:off x="599122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16</xdr:col>
      <xdr:colOff>9525</xdr:colOff>
      <xdr:row>25</xdr:row>
      <xdr:rowOff>142875</xdr:rowOff>
    </xdr:to>
    <xdr:sp>
      <xdr:nvSpPr>
        <xdr:cNvPr id="64" name="Straight Connector 971802"/>
        <xdr:cNvSpPr>
          <a:spLocks/>
        </xdr:cNvSpPr>
      </xdr:nvSpPr>
      <xdr:spPr>
        <a:xfrm>
          <a:off x="599122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38100</xdr:rowOff>
    </xdr:from>
    <xdr:to>
      <xdr:col>16</xdr:col>
      <xdr:colOff>9525</xdr:colOff>
      <xdr:row>19</xdr:row>
      <xdr:rowOff>0</xdr:rowOff>
    </xdr:to>
    <xdr:sp>
      <xdr:nvSpPr>
        <xdr:cNvPr id="65" name="Straight Connector 971803"/>
        <xdr:cNvSpPr>
          <a:spLocks/>
        </xdr:cNvSpPr>
      </xdr:nvSpPr>
      <xdr:spPr>
        <a:xfrm flipV="1">
          <a:off x="599122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16</xdr:col>
      <xdr:colOff>9525</xdr:colOff>
      <xdr:row>21</xdr:row>
      <xdr:rowOff>142875</xdr:rowOff>
    </xdr:to>
    <xdr:sp>
      <xdr:nvSpPr>
        <xdr:cNvPr id="66" name="Straight Connector 971804"/>
        <xdr:cNvSpPr>
          <a:spLocks/>
        </xdr:cNvSpPr>
      </xdr:nvSpPr>
      <xdr:spPr>
        <a:xfrm>
          <a:off x="599122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38100</xdr:rowOff>
    </xdr:from>
    <xdr:to>
      <xdr:col>16</xdr:col>
      <xdr:colOff>9525</xdr:colOff>
      <xdr:row>15</xdr:row>
      <xdr:rowOff>0</xdr:rowOff>
    </xdr:to>
    <xdr:sp>
      <xdr:nvSpPr>
        <xdr:cNvPr id="67" name="Straight Connector 971805"/>
        <xdr:cNvSpPr>
          <a:spLocks/>
        </xdr:cNvSpPr>
      </xdr:nvSpPr>
      <xdr:spPr>
        <a:xfrm flipV="1">
          <a:off x="5991225" y="23050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16</xdr:col>
      <xdr:colOff>9525</xdr:colOff>
      <xdr:row>17</xdr:row>
      <xdr:rowOff>142875</xdr:rowOff>
    </xdr:to>
    <xdr:sp>
      <xdr:nvSpPr>
        <xdr:cNvPr id="68" name="Straight Connector 3650911"/>
        <xdr:cNvSpPr>
          <a:spLocks/>
        </xdr:cNvSpPr>
      </xdr:nvSpPr>
      <xdr:spPr>
        <a:xfrm>
          <a:off x="5991225" y="2762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38100</xdr:rowOff>
    </xdr:from>
    <xdr:to>
      <xdr:col>16</xdr:col>
      <xdr:colOff>9525</xdr:colOff>
      <xdr:row>11</xdr:row>
      <xdr:rowOff>0</xdr:rowOff>
    </xdr:to>
    <xdr:sp>
      <xdr:nvSpPr>
        <xdr:cNvPr id="69" name="Straight Connector 3650912"/>
        <xdr:cNvSpPr>
          <a:spLocks/>
        </xdr:cNvSpPr>
      </xdr:nvSpPr>
      <xdr:spPr>
        <a:xfrm flipV="1">
          <a:off x="5991225" y="16573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16</xdr:col>
      <xdr:colOff>9525</xdr:colOff>
      <xdr:row>13</xdr:row>
      <xdr:rowOff>142875</xdr:rowOff>
    </xdr:to>
    <xdr:sp>
      <xdr:nvSpPr>
        <xdr:cNvPr id="70" name="Straight Connector 3650913"/>
        <xdr:cNvSpPr>
          <a:spLocks/>
        </xdr:cNvSpPr>
      </xdr:nvSpPr>
      <xdr:spPr>
        <a:xfrm>
          <a:off x="5991225" y="21145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38100</xdr:rowOff>
    </xdr:from>
    <xdr:to>
      <xdr:col>16</xdr:col>
      <xdr:colOff>9525</xdr:colOff>
      <xdr:row>7</xdr:row>
      <xdr:rowOff>0</xdr:rowOff>
    </xdr:to>
    <xdr:sp>
      <xdr:nvSpPr>
        <xdr:cNvPr id="71" name="Straight Connector 3650914"/>
        <xdr:cNvSpPr>
          <a:spLocks/>
        </xdr:cNvSpPr>
      </xdr:nvSpPr>
      <xdr:spPr>
        <a:xfrm flipV="1">
          <a:off x="5991225" y="10096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9525</xdr:colOff>
      <xdr:row>9</xdr:row>
      <xdr:rowOff>142875</xdr:rowOff>
    </xdr:to>
    <xdr:sp>
      <xdr:nvSpPr>
        <xdr:cNvPr id="72" name="Straight Connector 3650915"/>
        <xdr:cNvSpPr>
          <a:spLocks/>
        </xdr:cNvSpPr>
      </xdr:nvSpPr>
      <xdr:spPr>
        <a:xfrm>
          <a:off x="5991225" y="14668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38100</xdr:rowOff>
    </xdr:from>
    <xdr:to>
      <xdr:col>18</xdr:col>
      <xdr:colOff>9525</xdr:colOff>
      <xdr:row>37</xdr:row>
      <xdr:rowOff>0</xdr:rowOff>
    </xdr:to>
    <xdr:sp>
      <xdr:nvSpPr>
        <xdr:cNvPr id="73" name="Straight Connector 3650916"/>
        <xdr:cNvSpPr>
          <a:spLocks/>
        </xdr:cNvSpPr>
      </xdr:nvSpPr>
      <xdr:spPr>
        <a:xfrm flipV="1">
          <a:off x="6762750" y="58674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9525</xdr:rowOff>
    </xdr:from>
    <xdr:to>
      <xdr:col>18</xdr:col>
      <xdr:colOff>9525</xdr:colOff>
      <xdr:row>39</xdr:row>
      <xdr:rowOff>142875</xdr:rowOff>
    </xdr:to>
    <xdr:sp>
      <xdr:nvSpPr>
        <xdr:cNvPr id="74" name="Straight Connector 3650917"/>
        <xdr:cNvSpPr>
          <a:spLocks/>
        </xdr:cNvSpPr>
      </xdr:nvSpPr>
      <xdr:spPr>
        <a:xfrm>
          <a:off x="6762750" y="63246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38100</xdr:rowOff>
    </xdr:from>
    <xdr:to>
      <xdr:col>18</xdr:col>
      <xdr:colOff>9525</xdr:colOff>
      <xdr:row>33</xdr:row>
      <xdr:rowOff>0</xdr:rowOff>
    </xdr:to>
    <xdr:sp>
      <xdr:nvSpPr>
        <xdr:cNvPr id="75" name="Straight Connector 3650918"/>
        <xdr:cNvSpPr>
          <a:spLocks/>
        </xdr:cNvSpPr>
      </xdr:nvSpPr>
      <xdr:spPr>
        <a:xfrm flipV="1">
          <a:off x="6762750" y="52197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18</xdr:col>
      <xdr:colOff>9525</xdr:colOff>
      <xdr:row>35</xdr:row>
      <xdr:rowOff>142875</xdr:rowOff>
    </xdr:to>
    <xdr:sp>
      <xdr:nvSpPr>
        <xdr:cNvPr id="76" name="Straight Connector 3650919"/>
        <xdr:cNvSpPr>
          <a:spLocks/>
        </xdr:cNvSpPr>
      </xdr:nvSpPr>
      <xdr:spPr>
        <a:xfrm>
          <a:off x="6762750" y="56769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38100</xdr:rowOff>
    </xdr:from>
    <xdr:to>
      <xdr:col>18</xdr:col>
      <xdr:colOff>9525</xdr:colOff>
      <xdr:row>29</xdr:row>
      <xdr:rowOff>0</xdr:rowOff>
    </xdr:to>
    <xdr:sp>
      <xdr:nvSpPr>
        <xdr:cNvPr id="77" name="Straight Connector 3650920"/>
        <xdr:cNvSpPr>
          <a:spLocks/>
        </xdr:cNvSpPr>
      </xdr:nvSpPr>
      <xdr:spPr>
        <a:xfrm flipV="1">
          <a:off x="6762750" y="45720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18</xdr:col>
      <xdr:colOff>9525</xdr:colOff>
      <xdr:row>31</xdr:row>
      <xdr:rowOff>142875</xdr:rowOff>
    </xdr:to>
    <xdr:sp>
      <xdr:nvSpPr>
        <xdr:cNvPr id="78" name="Straight Connector 3650921"/>
        <xdr:cNvSpPr>
          <a:spLocks/>
        </xdr:cNvSpPr>
      </xdr:nvSpPr>
      <xdr:spPr>
        <a:xfrm>
          <a:off x="6762750" y="50292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38100</xdr:rowOff>
    </xdr:from>
    <xdr:to>
      <xdr:col>18</xdr:col>
      <xdr:colOff>9525</xdr:colOff>
      <xdr:row>25</xdr:row>
      <xdr:rowOff>0</xdr:rowOff>
    </xdr:to>
    <xdr:sp>
      <xdr:nvSpPr>
        <xdr:cNvPr id="79" name="Straight Connector 3650922"/>
        <xdr:cNvSpPr>
          <a:spLocks/>
        </xdr:cNvSpPr>
      </xdr:nvSpPr>
      <xdr:spPr>
        <a:xfrm flipV="1">
          <a:off x="6762750" y="39243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18</xdr:col>
      <xdr:colOff>9525</xdr:colOff>
      <xdr:row>27</xdr:row>
      <xdr:rowOff>142875</xdr:rowOff>
    </xdr:to>
    <xdr:sp>
      <xdr:nvSpPr>
        <xdr:cNvPr id="80" name="Straight Connector 3651039"/>
        <xdr:cNvSpPr>
          <a:spLocks/>
        </xdr:cNvSpPr>
      </xdr:nvSpPr>
      <xdr:spPr>
        <a:xfrm>
          <a:off x="6762750" y="43815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38100</xdr:rowOff>
    </xdr:from>
    <xdr:to>
      <xdr:col>18</xdr:col>
      <xdr:colOff>9525</xdr:colOff>
      <xdr:row>21</xdr:row>
      <xdr:rowOff>0</xdr:rowOff>
    </xdr:to>
    <xdr:sp>
      <xdr:nvSpPr>
        <xdr:cNvPr id="81" name="Straight Connector 3651040"/>
        <xdr:cNvSpPr>
          <a:spLocks/>
        </xdr:cNvSpPr>
      </xdr:nvSpPr>
      <xdr:spPr>
        <a:xfrm flipV="1">
          <a:off x="676275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9525</xdr:colOff>
      <xdr:row>23</xdr:row>
      <xdr:rowOff>142875</xdr:rowOff>
    </xdr:to>
    <xdr:sp>
      <xdr:nvSpPr>
        <xdr:cNvPr id="82" name="Straight Connector 3651041"/>
        <xdr:cNvSpPr>
          <a:spLocks/>
        </xdr:cNvSpPr>
      </xdr:nvSpPr>
      <xdr:spPr>
        <a:xfrm>
          <a:off x="676275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38100</xdr:rowOff>
    </xdr:from>
    <xdr:to>
      <xdr:col>18</xdr:col>
      <xdr:colOff>9525</xdr:colOff>
      <xdr:row>17</xdr:row>
      <xdr:rowOff>0</xdr:rowOff>
    </xdr:to>
    <xdr:sp>
      <xdr:nvSpPr>
        <xdr:cNvPr id="83" name="Straight Connector 3651042"/>
        <xdr:cNvSpPr>
          <a:spLocks/>
        </xdr:cNvSpPr>
      </xdr:nvSpPr>
      <xdr:spPr>
        <a:xfrm flipV="1">
          <a:off x="6762750" y="26289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</xdr:rowOff>
    </xdr:from>
    <xdr:to>
      <xdr:col>18</xdr:col>
      <xdr:colOff>9525</xdr:colOff>
      <xdr:row>19</xdr:row>
      <xdr:rowOff>142875</xdr:rowOff>
    </xdr:to>
    <xdr:sp>
      <xdr:nvSpPr>
        <xdr:cNvPr id="84" name="Straight Connector 3651043"/>
        <xdr:cNvSpPr>
          <a:spLocks/>
        </xdr:cNvSpPr>
      </xdr:nvSpPr>
      <xdr:spPr>
        <a:xfrm>
          <a:off x="6762750" y="30861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38100</xdr:rowOff>
    </xdr:from>
    <xdr:to>
      <xdr:col>18</xdr:col>
      <xdr:colOff>9525</xdr:colOff>
      <xdr:row>13</xdr:row>
      <xdr:rowOff>0</xdr:rowOff>
    </xdr:to>
    <xdr:sp>
      <xdr:nvSpPr>
        <xdr:cNvPr id="85" name="Straight Connector 3651044"/>
        <xdr:cNvSpPr>
          <a:spLocks/>
        </xdr:cNvSpPr>
      </xdr:nvSpPr>
      <xdr:spPr>
        <a:xfrm flipV="1">
          <a:off x="6762750" y="19812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9525</xdr:rowOff>
    </xdr:from>
    <xdr:to>
      <xdr:col>18</xdr:col>
      <xdr:colOff>9525</xdr:colOff>
      <xdr:row>15</xdr:row>
      <xdr:rowOff>142875</xdr:rowOff>
    </xdr:to>
    <xdr:sp>
      <xdr:nvSpPr>
        <xdr:cNvPr id="86" name="Straight Connector 3651045"/>
        <xdr:cNvSpPr>
          <a:spLocks/>
        </xdr:cNvSpPr>
      </xdr:nvSpPr>
      <xdr:spPr>
        <a:xfrm>
          <a:off x="6762750" y="2438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38100</xdr:rowOff>
    </xdr:from>
    <xdr:to>
      <xdr:col>18</xdr:col>
      <xdr:colOff>9525</xdr:colOff>
      <xdr:row>9</xdr:row>
      <xdr:rowOff>0</xdr:rowOff>
    </xdr:to>
    <xdr:sp>
      <xdr:nvSpPr>
        <xdr:cNvPr id="87" name="Straight Connector 3651046"/>
        <xdr:cNvSpPr>
          <a:spLocks/>
        </xdr:cNvSpPr>
      </xdr:nvSpPr>
      <xdr:spPr>
        <a:xfrm flipV="1">
          <a:off x="6762750" y="13335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</xdr:rowOff>
    </xdr:from>
    <xdr:to>
      <xdr:col>18</xdr:col>
      <xdr:colOff>9525</xdr:colOff>
      <xdr:row>11</xdr:row>
      <xdr:rowOff>142875</xdr:rowOff>
    </xdr:to>
    <xdr:sp>
      <xdr:nvSpPr>
        <xdr:cNvPr id="88" name="Straight Connector 3651047"/>
        <xdr:cNvSpPr>
          <a:spLocks/>
        </xdr:cNvSpPr>
      </xdr:nvSpPr>
      <xdr:spPr>
        <a:xfrm>
          <a:off x="6762750" y="17907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38100</xdr:rowOff>
    </xdr:from>
    <xdr:to>
      <xdr:col>18</xdr:col>
      <xdr:colOff>9525</xdr:colOff>
      <xdr:row>5</xdr:row>
      <xdr:rowOff>0</xdr:rowOff>
    </xdr:to>
    <xdr:sp>
      <xdr:nvSpPr>
        <xdr:cNvPr id="89" name="Straight Connector 3651048"/>
        <xdr:cNvSpPr>
          <a:spLocks/>
        </xdr:cNvSpPr>
      </xdr:nvSpPr>
      <xdr:spPr>
        <a:xfrm flipV="1">
          <a:off x="6762750" y="6858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18</xdr:col>
      <xdr:colOff>9525</xdr:colOff>
      <xdr:row>7</xdr:row>
      <xdr:rowOff>142875</xdr:rowOff>
    </xdr:to>
    <xdr:sp>
      <xdr:nvSpPr>
        <xdr:cNvPr id="90" name="Straight Connector 3651049"/>
        <xdr:cNvSpPr>
          <a:spLocks/>
        </xdr:cNvSpPr>
      </xdr:nvSpPr>
      <xdr:spPr>
        <a:xfrm>
          <a:off x="6762750" y="11430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38100</xdr:rowOff>
    </xdr:from>
    <xdr:to>
      <xdr:col>20</xdr:col>
      <xdr:colOff>9525</xdr:colOff>
      <xdr:row>39</xdr:row>
      <xdr:rowOff>0</xdr:rowOff>
    </xdr:to>
    <xdr:sp>
      <xdr:nvSpPr>
        <xdr:cNvPr id="91" name="Straight Connector 3651050"/>
        <xdr:cNvSpPr>
          <a:spLocks/>
        </xdr:cNvSpPr>
      </xdr:nvSpPr>
      <xdr:spPr>
        <a:xfrm flipV="1">
          <a:off x="7534275" y="61912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9525</xdr:rowOff>
    </xdr:from>
    <xdr:to>
      <xdr:col>20</xdr:col>
      <xdr:colOff>9525</xdr:colOff>
      <xdr:row>41</xdr:row>
      <xdr:rowOff>142875</xdr:rowOff>
    </xdr:to>
    <xdr:sp>
      <xdr:nvSpPr>
        <xdr:cNvPr id="92" name="Straight Connector 3651051"/>
        <xdr:cNvSpPr>
          <a:spLocks/>
        </xdr:cNvSpPr>
      </xdr:nvSpPr>
      <xdr:spPr>
        <a:xfrm>
          <a:off x="7534275" y="66484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38100</xdr:rowOff>
    </xdr:from>
    <xdr:to>
      <xdr:col>20</xdr:col>
      <xdr:colOff>9525</xdr:colOff>
      <xdr:row>35</xdr:row>
      <xdr:rowOff>0</xdr:rowOff>
    </xdr:to>
    <xdr:sp>
      <xdr:nvSpPr>
        <xdr:cNvPr id="93" name="Straight Connector 3651052"/>
        <xdr:cNvSpPr>
          <a:spLocks/>
        </xdr:cNvSpPr>
      </xdr:nvSpPr>
      <xdr:spPr>
        <a:xfrm flipV="1">
          <a:off x="7534275" y="55435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9525</xdr:rowOff>
    </xdr:from>
    <xdr:to>
      <xdr:col>20</xdr:col>
      <xdr:colOff>9525</xdr:colOff>
      <xdr:row>37</xdr:row>
      <xdr:rowOff>142875</xdr:rowOff>
    </xdr:to>
    <xdr:sp>
      <xdr:nvSpPr>
        <xdr:cNvPr id="94" name="Straight Connector 3651053"/>
        <xdr:cNvSpPr>
          <a:spLocks/>
        </xdr:cNvSpPr>
      </xdr:nvSpPr>
      <xdr:spPr>
        <a:xfrm>
          <a:off x="7534275" y="60007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38100</xdr:rowOff>
    </xdr:from>
    <xdr:to>
      <xdr:col>20</xdr:col>
      <xdr:colOff>9525</xdr:colOff>
      <xdr:row>31</xdr:row>
      <xdr:rowOff>0</xdr:rowOff>
    </xdr:to>
    <xdr:sp>
      <xdr:nvSpPr>
        <xdr:cNvPr id="95" name="Straight Connector 3651054"/>
        <xdr:cNvSpPr>
          <a:spLocks/>
        </xdr:cNvSpPr>
      </xdr:nvSpPr>
      <xdr:spPr>
        <a:xfrm flipV="1">
          <a:off x="7534275" y="48958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20</xdr:col>
      <xdr:colOff>9525</xdr:colOff>
      <xdr:row>33</xdr:row>
      <xdr:rowOff>142875</xdr:rowOff>
    </xdr:to>
    <xdr:sp>
      <xdr:nvSpPr>
        <xdr:cNvPr id="96" name="Straight Connector 3651055"/>
        <xdr:cNvSpPr>
          <a:spLocks/>
        </xdr:cNvSpPr>
      </xdr:nvSpPr>
      <xdr:spPr>
        <a:xfrm>
          <a:off x="7534275" y="53530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38100</xdr:rowOff>
    </xdr:from>
    <xdr:to>
      <xdr:col>20</xdr:col>
      <xdr:colOff>9525</xdr:colOff>
      <xdr:row>27</xdr:row>
      <xdr:rowOff>0</xdr:rowOff>
    </xdr:to>
    <xdr:sp>
      <xdr:nvSpPr>
        <xdr:cNvPr id="97" name="Straight Connector 3651056"/>
        <xdr:cNvSpPr>
          <a:spLocks/>
        </xdr:cNvSpPr>
      </xdr:nvSpPr>
      <xdr:spPr>
        <a:xfrm flipV="1">
          <a:off x="7534275" y="42481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20</xdr:col>
      <xdr:colOff>9525</xdr:colOff>
      <xdr:row>29</xdr:row>
      <xdr:rowOff>142875</xdr:rowOff>
    </xdr:to>
    <xdr:sp>
      <xdr:nvSpPr>
        <xdr:cNvPr id="98" name="Straight Connector 3651057"/>
        <xdr:cNvSpPr>
          <a:spLocks/>
        </xdr:cNvSpPr>
      </xdr:nvSpPr>
      <xdr:spPr>
        <a:xfrm>
          <a:off x="7534275" y="4705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38100</xdr:rowOff>
    </xdr:from>
    <xdr:to>
      <xdr:col>20</xdr:col>
      <xdr:colOff>9525</xdr:colOff>
      <xdr:row>23</xdr:row>
      <xdr:rowOff>0</xdr:rowOff>
    </xdr:to>
    <xdr:sp>
      <xdr:nvSpPr>
        <xdr:cNvPr id="99" name="Straight Connector 3651058"/>
        <xdr:cNvSpPr>
          <a:spLocks/>
        </xdr:cNvSpPr>
      </xdr:nvSpPr>
      <xdr:spPr>
        <a:xfrm flipV="1">
          <a:off x="753427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00" name="Straight Connector 3651059"/>
        <xdr:cNvSpPr>
          <a:spLocks/>
        </xdr:cNvSpPr>
      </xdr:nvSpPr>
      <xdr:spPr>
        <a:xfrm>
          <a:off x="753427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38100</xdr:rowOff>
    </xdr:from>
    <xdr:to>
      <xdr:col>20</xdr:col>
      <xdr:colOff>9525</xdr:colOff>
      <xdr:row>19</xdr:row>
      <xdr:rowOff>0</xdr:rowOff>
    </xdr:to>
    <xdr:sp>
      <xdr:nvSpPr>
        <xdr:cNvPr id="101" name="Straight Connector 3651060"/>
        <xdr:cNvSpPr>
          <a:spLocks/>
        </xdr:cNvSpPr>
      </xdr:nvSpPr>
      <xdr:spPr>
        <a:xfrm flipV="1">
          <a:off x="753427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9525</xdr:rowOff>
    </xdr:from>
    <xdr:to>
      <xdr:col>20</xdr:col>
      <xdr:colOff>9525</xdr:colOff>
      <xdr:row>21</xdr:row>
      <xdr:rowOff>142875</xdr:rowOff>
    </xdr:to>
    <xdr:sp>
      <xdr:nvSpPr>
        <xdr:cNvPr id="102" name="Straight Connector 3651061"/>
        <xdr:cNvSpPr>
          <a:spLocks/>
        </xdr:cNvSpPr>
      </xdr:nvSpPr>
      <xdr:spPr>
        <a:xfrm>
          <a:off x="753427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38100</xdr:rowOff>
    </xdr:from>
    <xdr:to>
      <xdr:col>20</xdr:col>
      <xdr:colOff>9525</xdr:colOff>
      <xdr:row>15</xdr:row>
      <xdr:rowOff>0</xdr:rowOff>
    </xdr:to>
    <xdr:sp>
      <xdr:nvSpPr>
        <xdr:cNvPr id="103" name="Straight Connector 3651062"/>
        <xdr:cNvSpPr>
          <a:spLocks/>
        </xdr:cNvSpPr>
      </xdr:nvSpPr>
      <xdr:spPr>
        <a:xfrm flipV="1">
          <a:off x="7534275" y="23050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20</xdr:col>
      <xdr:colOff>9525</xdr:colOff>
      <xdr:row>17</xdr:row>
      <xdr:rowOff>142875</xdr:rowOff>
    </xdr:to>
    <xdr:sp>
      <xdr:nvSpPr>
        <xdr:cNvPr id="104" name="Straight Connector 3651063"/>
        <xdr:cNvSpPr>
          <a:spLocks/>
        </xdr:cNvSpPr>
      </xdr:nvSpPr>
      <xdr:spPr>
        <a:xfrm>
          <a:off x="7534275" y="2762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38100</xdr:rowOff>
    </xdr:from>
    <xdr:to>
      <xdr:col>20</xdr:col>
      <xdr:colOff>9525</xdr:colOff>
      <xdr:row>11</xdr:row>
      <xdr:rowOff>0</xdr:rowOff>
    </xdr:to>
    <xdr:sp>
      <xdr:nvSpPr>
        <xdr:cNvPr id="105" name="Straight Connector 3651064"/>
        <xdr:cNvSpPr>
          <a:spLocks/>
        </xdr:cNvSpPr>
      </xdr:nvSpPr>
      <xdr:spPr>
        <a:xfrm flipV="1">
          <a:off x="7534275" y="16573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9525</xdr:rowOff>
    </xdr:from>
    <xdr:to>
      <xdr:col>20</xdr:col>
      <xdr:colOff>9525</xdr:colOff>
      <xdr:row>13</xdr:row>
      <xdr:rowOff>142875</xdr:rowOff>
    </xdr:to>
    <xdr:sp>
      <xdr:nvSpPr>
        <xdr:cNvPr id="106" name="Straight Connector 3651065"/>
        <xdr:cNvSpPr>
          <a:spLocks/>
        </xdr:cNvSpPr>
      </xdr:nvSpPr>
      <xdr:spPr>
        <a:xfrm>
          <a:off x="7534275" y="21145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38100</xdr:rowOff>
    </xdr:from>
    <xdr:to>
      <xdr:col>20</xdr:col>
      <xdr:colOff>9525</xdr:colOff>
      <xdr:row>7</xdr:row>
      <xdr:rowOff>0</xdr:rowOff>
    </xdr:to>
    <xdr:sp>
      <xdr:nvSpPr>
        <xdr:cNvPr id="107" name="Straight Connector 3651066"/>
        <xdr:cNvSpPr>
          <a:spLocks/>
        </xdr:cNvSpPr>
      </xdr:nvSpPr>
      <xdr:spPr>
        <a:xfrm flipV="1">
          <a:off x="7534275" y="10096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20</xdr:col>
      <xdr:colOff>9525</xdr:colOff>
      <xdr:row>9</xdr:row>
      <xdr:rowOff>142875</xdr:rowOff>
    </xdr:to>
    <xdr:sp>
      <xdr:nvSpPr>
        <xdr:cNvPr id="108" name="Straight Connector 3651067"/>
        <xdr:cNvSpPr>
          <a:spLocks/>
        </xdr:cNvSpPr>
      </xdr:nvSpPr>
      <xdr:spPr>
        <a:xfrm>
          <a:off x="7534275" y="14668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38100</xdr:rowOff>
    </xdr:from>
    <xdr:to>
      <xdr:col>20</xdr:col>
      <xdr:colOff>9525</xdr:colOff>
      <xdr:row>3</xdr:row>
      <xdr:rowOff>0</xdr:rowOff>
    </xdr:to>
    <xdr:sp>
      <xdr:nvSpPr>
        <xdr:cNvPr id="109" name="Straight Connector 3651068"/>
        <xdr:cNvSpPr>
          <a:spLocks/>
        </xdr:cNvSpPr>
      </xdr:nvSpPr>
      <xdr:spPr>
        <a:xfrm flipV="1">
          <a:off x="7534275" y="3619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20</xdr:col>
      <xdr:colOff>9525</xdr:colOff>
      <xdr:row>5</xdr:row>
      <xdr:rowOff>142875</xdr:rowOff>
    </xdr:to>
    <xdr:sp>
      <xdr:nvSpPr>
        <xdr:cNvPr id="110" name="Straight Connector 3651069"/>
        <xdr:cNvSpPr>
          <a:spLocks/>
        </xdr:cNvSpPr>
      </xdr:nvSpPr>
      <xdr:spPr>
        <a:xfrm>
          <a:off x="7534275" y="8191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85725</xdr:rowOff>
    </xdr:from>
    <xdr:to>
      <xdr:col>2</xdr:col>
      <xdr:colOff>19050</xdr:colOff>
      <xdr:row>26</xdr:row>
      <xdr:rowOff>85725</xdr:rowOff>
    </xdr:to>
    <xdr:sp>
      <xdr:nvSpPr>
        <xdr:cNvPr id="1" name="Straight Connector 1176610"/>
        <xdr:cNvSpPr>
          <a:spLocks/>
        </xdr:cNvSpPr>
      </xdr:nvSpPr>
      <xdr:spPr>
        <a:xfrm>
          <a:off x="590550" y="4295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95250</xdr:rowOff>
    </xdr:from>
    <xdr:to>
      <xdr:col>2</xdr:col>
      <xdr:colOff>19050</xdr:colOff>
      <xdr:row>26</xdr:row>
      <xdr:rowOff>85725</xdr:rowOff>
    </xdr:to>
    <xdr:sp>
      <xdr:nvSpPr>
        <xdr:cNvPr id="2" name="Straight Connector 1176611"/>
        <xdr:cNvSpPr>
          <a:spLocks/>
        </xdr:cNvSpPr>
      </xdr:nvSpPr>
      <xdr:spPr>
        <a:xfrm flipV="1">
          <a:off x="590550" y="36576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85725</xdr:rowOff>
    </xdr:from>
    <xdr:to>
      <xdr:col>2</xdr:col>
      <xdr:colOff>19050</xdr:colOff>
      <xdr:row>30</xdr:row>
      <xdr:rowOff>66675</xdr:rowOff>
    </xdr:to>
    <xdr:sp>
      <xdr:nvSpPr>
        <xdr:cNvPr id="3" name="Straight Connector 1176612"/>
        <xdr:cNvSpPr>
          <a:spLocks/>
        </xdr:cNvSpPr>
      </xdr:nvSpPr>
      <xdr:spPr>
        <a:xfrm>
          <a:off x="590550" y="42957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19050</xdr:colOff>
      <xdr:row>30</xdr:row>
      <xdr:rowOff>85725</xdr:rowOff>
    </xdr:to>
    <xdr:sp>
      <xdr:nvSpPr>
        <xdr:cNvPr id="4" name="Straight Connector 1176613"/>
        <xdr:cNvSpPr>
          <a:spLocks/>
        </xdr:cNvSpPr>
      </xdr:nvSpPr>
      <xdr:spPr>
        <a:xfrm>
          <a:off x="1562100" y="4943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4</xdr:col>
      <xdr:colOff>19050</xdr:colOff>
      <xdr:row>30</xdr:row>
      <xdr:rowOff>85725</xdr:rowOff>
    </xdr:to>
    <xdr:sp>
      <xdr:nvSpPr>
        <xdr:cNvPr id="5" name="Straight Connector 1176614"/>
        <xdr:cNvSpPr>
          <a:spLocks/>
        </xdr:cNvSpPr>
      </xdr:nvSpPr>
      <xdr:spPr>
        <a:xfrm flipV="1">
          <a:off x="1562100" y="43053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19050</xdr:colOff>
      <xdr:row>34</xdr:row>
      <xdr:rowOff>66675</xdr:rowOff>
    </xdr:to>
    <xdr:sp>
      <xdr:nvSpPr>
        <xdr:cNvPr id="6" name="Straight Connector 1176615"/>
        <xdr:cNvSpPr>
          <a:spLocks/>
        </xdr:cNvSpPr>
      </xdr:nvSpPr>
      <xdr:spPr>
        <a:xfrm>
          <a:off x="1562100" y="49434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19050</xdr:colOff>
      <xdr:row>26</xdr:row>
      <xdr:rowOff>85725</xdr:rowOff>
    </xdr:to>
    <xdr:sp>
      <xdr:nvSpPr>
        <xdr:cNvPr id="7" name="Straight Connector 1176616"/>
        <xdr:cNvSpPr>
          <a:spLocks/>
        </xdr:cNvSpPr>
      </xdr:nvSpPr>
      <xdr:spPr>
        <a:xfrm>
          <a:off x="1562100" y="4295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95250</xdr:rowOff>
    </xdr:from>
    <xdr:to>
      <xdr:col>4</xdr:col>
      <xdr:colOff>19050</xdr:colOff>
      <xdr:row>26</xdr:row>
      <xdr:rowOff>85725</xdr:rowOff>
    </xdr:to>
    <xdr:sp>
      <xdr:nvSpPr>
        <xdr:cNvPr id="8" name="Straight Connector 1176617"/>
        <xdr:cNvSpPr>
          <a:spLocks/>
        </xdr:cNvSpPr>
      </xdr:nvSpPr>
      <xdr:spPr>
        <a:xfrm flipV="1">
          <a:off x="1562100" y="36576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19050</xdr:colOff>
      <xdr:row>30</xdr:row>
      <xdr:rowOff>66675</xdr:rowOff>
    </xdr:to>
    <xdr:sp>
      <xdr:nvSpPr>
        <xdr:cNvPr id="9" name="Straight Connector 1176618"/>
        <xdr:cNvSpPr>
          <a:spLocks/>
        </xdr:cNvSpPr>
      </xdr:nvSpPr>
      <xdr:spPr>
        <a:xfrm>
          <a:off x="1562100" y="42957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19050</xdr:colOff>
      <xdr:row>22</xdr:row>
      <xdr:rowOff>85725</xdr:rowOff>
    </xdr:to>
    <xdr:sp>
      <xdr:nvSpPr>
        <xdr:cNvPr id="10" name="Straight Connector 1176619"/>
        <xdr:cNvSpPr>
          <a:spLocks/>
        </xdr:cNvSpPr>
      </xdr:nvSpPr>
      <xdr:spPr>
        <a:xfrm>
          <a:off x="1562100" y="3648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95250</xdr:rowOff>
    </xdr:from>
    <xdr:to>
      <xdr:col>4</xdr:col>
      <xdr:colOff>19050</xdr:colOff>
      <xdr:row>22</xdr:row>
      <xdr:rowOff>85725</xdr:rowOff>
    </xdr:to>
    <xdr:sp>
      <xdr:nvSpPr>
        <xdr:cNvPr id="11" name="Straight Connector 1176620"/>
        <xdr:cNvSpPr>
          <a:spLocks/>
        </xdr:cNvSpPr>
      </xdr:nvSpPr>
      <xdr:spPr>
        <a:xfrm flipV="1">
          <a:off x="1562100" y="30099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19050</xdr:colOff>
      <xdr:row>26</xdr:row>
      <xdr:rowOff>66675</xdr:rowOff>
    </xdr:to>
    <xdr:sp>
      <xdr:nvSpPr>
        <xdr:cNvPr id="12" name="Straight Connector 1176621"/>
        <xdr:cNvSpPr>
          <a:spLocks/>
        </xdr:cNvSpPr>
      </xdr:nvSpPr>
      <xdr:spPr>
        <a:xfrm>
          <a:off x="1562100" y="36480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6</xdr:col>
      <xdr:colOff>19050</xdr:colOff>
      <xdr:row>34</xdr:row>
      <xdr:rowOff>85725</xdr:rowOff>
    </xdr:to>
    <xdr:sp>
      <xdr:nvSpPr>
        <xdr:cNvPr id="13" name="Straight Connector 1176622"/>
        <xdr:cNvSpPr>
          <a:spLocks/>
        </xdr:cNvSpPr>
      </xdr:nvSpPr>
      <xdr:spPr>
        <a:xfrm>
          <a:off x="2533650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6</xdr:col>
      <xdr:colOff>19050</xdr:colOff>
      <xdr:row>34</xdr:row>
      <xdr:rowOff>85725</xdr:rowOff>
    </xdr:to>
    <xdr:sp>
      <xdr:nvSpPr>
        <xdr:cNvPr id="14" name="Straight Connector 1176623"/>
        <xdr:cNvSpPr>
          <a:spLocks/>
        </xdr:cNvSpPr>
      </xdr:nvSpPr>
      <xdr:spPr>
        <a:xfrm flipV="1">
          <a:off x="2533650" y="49530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6</xdr:col>
      <xdr:colOff>19050</xdr:colOff>
      <xdr:row>38</xdr:row>
      <xdr:rowOff>66675</xdr:rowOff>
    </xdr:to>
    <xdr:sp>
      <xdr:nvSpPr>
        <xdr:cNvPr id="15" name="Straight Connector 1176624"/>
        <xdr:cNvSpPr>
          <a:spLocks/>
        </xdr:cNvSpPr>
      </xdr:nvSpPr>
      <xdr:spPr>
        <a:xfrm>
          <a:off x="2533650" y="55911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6</xdr:col>
      <xdr:colOff>19050</xdr:colOff>
      <xdr:row>30</xdr:row>
      <xdr:rowOff>85725</xdr:rowOff>
    </xdr:to>
    <xdr:sp>
      <xdr:nvSpPr>
        <xdr:cNvPr id="16" name="Straight Connector 1176625"/>
        <xdr:cNvSpPr>
          <a:spLocks/>
        </xdr:cNvSpPr>
      </xdr:nvSpPr>
      <xdr:spPr>
        <a:xfrm>
          <a:off x="2533650" y="4943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6</xdr:col>
      <xdr:colOff>19050</xdr:colOff>
      <xdr:row>30</xdr:row>
      <xdr:rowOff>85725</xdr:rowOff>
    </xdr:to>
    <xdr:sp>
      <xdr:nvSpPr>
        <xdr:cNvPr id="17" name="Straight Connector 1176626"/>
        <xdr:cNvSpPr>
          <a:spLocks/>
        </xdr:cNvSpPr>
      </xdr:nvSpPr>
      <xdr:spPr>
        <a:xfrm flipV="1">
          <a:off x="2533650" y="43053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6</xdr:col>
      <xdr:colOff>19050</xdr:colOff>
      <xdr:row>34</xdr:row>
      <xdr:rowOff>66675</xdr:rowOff>
    </xdr:to>
    <xdr:sp>
      <xdr:nvSpPr>
        <xdr:cNvPr id="18" name="Straight Connector 1176627"/>
        <xdr:cNvSpPr>
          <a:spLocks/>
        </xdr:cNvSpPr>
      </xdr:nvSpPr>
      <xdr:spPr>
        <a:xfrm>
          <a:off x="2533650" y="49434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6</xdr:col>
      <xdr:colOff>19050</xdr:colOff>
      <xdr:row>26</xdr:row>
      <xdr:rowOff>85725</xdr:rowOff>
    </xdr:to>
    <xdr:sp>
      <xdr:nvSpPr>
        <xdr:cNvPr id="19" name="Straight Connector 1176628"/>
        <xdr:cNvSpPr>
          <a:spLocks/>
        </xdr:cNvSpPr>
      </xdr:nvSpPr>
      <xdr:spPr>
        <a:xfrm>
          <a:off x="2533650" y="4295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6</xdr:col>
      <xdr:colOff>19050</xdr:colOff>
      <xdr:row>26</xdr:row>
      <xdr:rowOff>85725</xdr:rowOff>
    </xdr:to>
    <xdr:sp>
      <xdr:nvSpPr>
        <xdr:cNvPr id="20" name="Straight Connector 1176629"/>
        <xdr:cNvSpPr>
          <a:spLocks/>
        </xdr:cNvSpPr>
      </xdr:nvSpPr>
      <xdr:spPr>
        <a:xfrm flipV="1">
          <a:off x="2533650" y="36576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6</xdr:col>
      <xdr:colOff>19050</xdr:colOff>
      <xdr:row>30</xdr:row>
      <xdr:rowOff>66675</xdr:rowOff>
    </xdr:to>
    <xdr:sp>
      <xdr:nvSpPr>
        <xdr:cNvPr id="21" name="Straight Connector 1176630"/>
        <xdr:cNvSpPr>
          <a:spLocks/>
        </xdr:cNvSpPr>
      </xdr:nvSpPr>
      <xdr:spPr>
        <a:xfrm>
          <a:off x="2533650" y="42957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85725</xdr:rowOff>
    </xdr:from>
    <xdr:to>
      <xdr:col>6</xdr:col>
      <xdr:colOff>19050</xdr:colOff>
      <xdr:row>22</xdr:row>
      <xdr:rowOff>85725</xdr:rowOff>
    </xdr:to>
    <xdr:sp>
      <xdr:nvSpPr>
        <xdr:cNvPr id="22" name="Straight Connector 1176631"/>
        <xdr:cNvSpPr>
          <a:spLocks/>
        </xdr:cNvSpPr>
      </xdr:nvSpPr>
      <xdr:spPr>
        <a:xfrm>
          <a:off x="2533650" y="3648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6</xdr:col>
      <xdr:colOff>19050</xdr:colOff>
      <xdr:row>22</xdr:row>
      <xdr:rowOff>85725</xdr:rowOff>
    </xdr:to>
    <xdr:sp>
      <xdr:nvSpPr>
        <xdr:cNvPr id="23" name="Straight Connector 1176632"/>
        <xdr:cNvSpPr>
          <a:spLocks/>
        </xdr:cNvSpPr>
      </xdr:nvSpPr>
      <xdr:spPr>
        <a:xfrm flipV="1">
          <a:off x="2533650" y="30099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85725</xdr:rowOff>
    </xdr:from>
    <xdr:to>
      <xdr:col>6</xdr:col>
      <xdr:colOff>19050</xdr:colOff>
      <xdr:row>26</xdr:row>
      <xdr:rowOff>66675</xdr:rowOff>
    </xdr:to>
    <xdr:sp>
      <xdr:nvSpPr>
        <xdr:cNvPr id="24" name="Straight Connector 1176633"/>
        <xdr:cNvSpPr>
          <a:spLocks/>
        </xdr:cNvSpPr>
      </xdr:nvSpPr>
      <xdr:spPr>
        <a:xfrm>
          <a:off x="2533650" y="36480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85725</xdr:rowOff>
    </xdr:from>
    <xdr:to>
      <xdr:col>6</xdr:col>
      <xdr:colOff>19050</xdr:colOff>
      <xdr:row>18</xdr:row>
      <xdr:rowOff>85725</xdr:rowOff>
    </xdr:to>
    <xdr:sp>
      <xdr:nvSpPr>
        <xdr:cNvPr id="25" name="Straight Connector 1176634"/>
        <xdr:cNvSpPr>
          <a:spLocks/>
        </xdr:cNvSpPr>
      </xdr:nvSpPr>
      <xdr:spPr>
        <a:xfrm>
          <a:off x="2533650" y="3000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6</xdr:col>
      <xdr:colOff>19050</xdr:colOff>
      <xdr:row>18</xdr:row>
      <xdr:rowOff>85725</xdr:rowOff>
    </xdr:to>
    <xdr:sp>
      <xdr:nvSpPr>
        <xdr:cNvPr id="26" name="Straight Connector 1176635"/>
        <xdr:cNvSpPr>
          <a:spLocks/>
        </xdr:cNvSpPr>
      </xdr:nvSpPr>
      <xdr:spPr>
        <a:xfrm flipV="1">
          <a:off x="2533650" y="23622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85725</xdr:rowOff>
    </xdr:from>
    <xdr:to>
      <xdr:col>6</xdr:col>
      <xdr:colOff>19050</xdr:colOff>
      <xdr:row>22</xdr:row>
      <xdr:rowOff>66675</xdr:rowOff>
    </xdr:to>
    <xdr:sp>
      <xdr:nvSpPr>
        <xdr:cNvPr id="27" name="Straight Connector 1176636"/>
        <xdr:cNvSpPr>
          <a:spLocks/>
        </xdr:cNvSpPr>
      </xdr:nvSpPr>
      <xdr:spPr>
        <a:xfrm>
          <a:off x="2533650" y="30003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85725</xdr:rowOff>
    </xdr:from>
    <xdr:to>
      <xdr:col>8</xdr:col>
      <xdr:colOff>19050</xdr:colOff>
      <xdr:row>38</xdr:row>
      <xdr:rowOff>85725</xdr:rowOff>
    </xdr:to>
    <xdr:sp>
      <xdr:nvSpPr>
        <xdr:cNvPr id="28" name="Straight Connector 1176637"/>
        <xdr:cNvSpPr>
          <a:spLocks/>
        </xdr:cNvSpPr>
      </xdr:nvSpPr>
      <xdr:spPr>
        <a:xfrm>
          <a:off x="3505200" y="6238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95250</xdr:rowOff>
    </xdr:from>
    <xdr:to>
      <xdr:col>8</xdr:col>
      <xdr:colOff>19050</xdr:colOff>
      <xdr:row>38</xdr:row>
      <xdr:rowOff>85725</xdr:rowOff>
    </xdr:to>
    <xdr:sp>
      <xdr:nvSpPr>
        <xdr:cNvPr id="29" name="Straight Connector 1176638"/>
        <xdr:cNvSpPr>
          <a:spLocks/>
        </xdr:cNvSpPr>
      </xdr:nvSpPr>
      <xdr:spPr>
        <a:xfrm flipV="1">
          <a:off x="3505200" y="56007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85725</xdr:rowOff>
    </xdr:from>
    <xdr:to>
      <xdr:col>8</xdr:col>
      <xdr:colOff>19050</xdr:colOff>
      <xdr:row>42</xdr:row>
      <xdr:rowOff>66675</xdr:rowOff>
    </xdr:to>
    <xdr:sp>
      <xdr:nvSpPr>
        <xdr:cNvPr id="30" name="Straight Connector 3556021"/>
        <xdr:cNvSpPr>
          <a:spLocks/>
        </xdr:cNvSpPr>
      </xdr:nvSpPr>
      <xdr:spPr>
        <a:xfrm>
          <a:off x="3505200" y="62388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85725</xdr:rowOff>
    </xdr:from>
    <xdr:to>
      <xdr:col>8</xdr:col>
      <xdr:colOff>19050</xdr:colOff>
      <xdr:row>34</xdr:row>
      <xdr:rowOff>85725</xdr:rowOff>
    </xdr:to>
    <xdr:sp>
      <xdr:nvSpPr>
        <xdr:cNvPr id="31" name="Straight Connector 3556022"/>
        <xdr:cNvSpPr>
          <a:spLocks/>
        </xdr:cNvSpPr>
      </xdr:nvSpPr>
      <xdr:spPr>
        <a:xfrm>
          <a:off x="3505200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95250</xdr:rowOff>
    </xdr:from>
    <xdr:to>
      <xdr:col>8</xdr:col>
      <xdr:colOff>19050</xdr:colOff>
      <xdr:row>34</xdr:row>
      <xdr:rowOff>85725</xdr:rowOff>
    </xdr:to>
    <xdr:sp>
      <xdr:nvSpPr>
        <xdr:cNvPr id="32" name="Straight Connector 3556023"/>
        <xdr:cNvSpPr>
          <a:spLocks/>
        </xdr:cNvSpPr>
      </xdr:nvSpPr>
      <xdr:spPr>
        <a:xfrm flipV="1">
          <a:off x="3505200" y="49530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85725</xdr:rowOff>
    </xdr:from>
    <xdr:to>
      <xdr:col>8</xdr:col>
      <xdr:colOff>19050</xdr:colOff>
      <xdr:row>38</xdr:row>
      <xdr:rowOff>66675</xdr:rowOff>
    </xdr:to>
    <xdr:sp>
      <xdr:nvSpPr>
        <xdr:cNvPr id="33" name="Straight Connector 3556024"/>
        <xdr:cNvSpPr>
          <a:spLocks/>
        </xdr:cNvSpPr>
      </xdr:nvSpPr>
      <xdr:spPr>
        <a:xfrm>
          <a:off x="3505200" y="55911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85725</xdr:rowOff>
    </xdr:from>
    <xdr:to>
      <xdr:col>8</xdr:col>
      <xdr:colOff>19050</xdr:colOff>
      <xdr:row>30</xdr:row>
      <xdr:rowOff>85725</xdr:rowOff>
    </xdr:to>
    <xdr:sp>
      <xdr:nvSpPr>
        <xdr:cNvPr id="34" name="Straight Connector 3556025"/>
        <xdr:cNvSpPr>
          <a:spLocks/>
        </xdr:cNvSpPr>
      </xdr:nvSpPr>
      <xdr:spPr>
        <a:xfrm>
          <a:off x="3505200" y="4943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95250</xdr:rowOff>
    </xdr:from>
    <xdr:to>
      <xdr:col>8</xdr:col>
      <xdr:colOff>19050</xdr:colOff>
      <xdr:row>30</xdr:row>
      <xdr:rowOff>85725</xdr:rowOff>
    </xdr:to>
    <xdr:sp>
      <xdr:nvSpPr>
        <xdr:cNvPr id="35" name="Straight Connector 3556026"/>
        <xdr:cNvSpPr>
          <a:spLocks/>
        </xdr:cNvSpPr>
      </xdr:nvSpPr>
      <xdr:spPr>
        <a:xfrm flipV="1">
          <a:off x="3505200" y="43053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85725</xdr:rowOff>
    </xdr:from>
    <xdr:to>
      <xdr:col>8</xdr:col>
      <xdr:colOff>19050</xdr:colOff>
      <xdr:row>34</xdr:row>
      <xdr:rowOff>66675</xdr:rowOff>
    </xdr:to>
    <xdr:sp>
      <xdr:nvSpPr>
        <xdr:cNvPr id="36" name="Straight Connector 3556027"/>
        <xdr:cNvSpPr>
          <a:spLocks/>
        </xdr:cNvSpPr>
      </xdr:nvSpPr>
      <xdr:spPr>
        <a:xfrm>
          <a:off x="3505200" y="49434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85725</xdr:rowOff>
    </xdr:from>
    <xdr:to>
      <xdr:col>8</xdr:col>
      <xdr:colOff>19050</xdr:colOff>
      <xdr:row>26</xdr:row>
      <xdr:rowOff>85725</xdr:rowOff>
    </xdr:to>
    <xdr:sp>
      <xdr:nvSpPr>
        <xdr:cNvPr id="37" name="Straight Connector 3556028"/>
        <xdr:cNvSpPr>
          <a:spLocks/>
        </xdr:cNvSpPr>
      </xdr:nvSpPr>
      <xdr:spPr>
        <a:xfrm>
          <a:off x="3505200" y="4295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95250</xdr:rowOff>
    </xdr:from>
    <xdr:to>
      <xdr:col>8</xdr:col>
      <xdr:colOff>19050</xdr:colOff>
      <xdr:row>26</xdr:row>
      <xdr:rowOff>85725</xdr:rowOff>
    </xdr:to>
    <xdr:sp>
      <xdr:nvSpPr>
        <xdr:cNvPr id="38" name="Straight Connector 3556029"/>
        <xdr:cNvSpPr>
          <a:spLocks/>
        </xdr:cNvSpPr>
      </xdr:nvSpPr>
      <xdr:spPr>
        <a:xfrm flipV="1">
          <a:off x="3505200" y="36576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85725</xdr:rowOff>
    </xdr:from>
    <xdr:to>
      <xdr:col>8</xdr:col>
      <xdr:colOff>19050</xdr:colOff>
      <xdr:row>30</xdr:row>
      <xdr:rowOff>66675</xdr:rowOff>
    </xdr:to>
    <xdr:sp>
      <xdr:nvSpPr>
        <xdr:cNvPr id="39" name="Straight Connector 3556030"/>
        <xdr:cNvSpPr>
          <a:spLocks/>
        </xdr:cNvSpPr>
      </xdr:nvSpPr>
      <xdr:spPr>
        <a:xfrm>
          <a:off x="3505200" y="42957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8</xdr:col>
      <xdr:colOff>19050</xdr:colOff>
      <xdr:row>22</xdr:row>
      <xdr:rowOff>85725</xdr:rowOff>
    </xdr:to>
    <xdr:sp>
      <xdr:nvSpPr>
        <xdr:cNvPr id="40" name="Straight Connector 3555711"/>
        <xdr:cNvSpPr>
          <a:spLocks/>
        </xdr:cNvSpPr>
      </xdr:nvSpPr>
      <xdr:spPr>
        <a:xfrm>
          <a:off x="3505200" y="3648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95250</xdr:rowOff>
    </xdr:from>
    <xdr:to>
      <xdr:col>8</xdr:col>
      <xdr:colOff>19050</xdr:colOff>
      <xdr:row>22</xdr:row>
      <xdr:rowOff>85725</xdr:rowOff>
    </xdr:to>
    <xdr:sp>
      <xdr:nvSpPr>
        <xdr:cNvPr id="41" name="Straight Connector 3555712"/>
        <xdr:cNvSpPr>
          <a:spLocks/>
        </xdr:cNvSpPr>
      </xdr:nvSpPr>
      <xdr:spPr>
        <a:xfrm flipV="1">
          <a:off x="3505200" y="30099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8</xdr:col>
      <xdr:colOff>19050</xdr:colOff>
      <xdr:row>26</xdr:row>
      <xdr:rowOff>66675</xdr:rowOff>
    </xdr:to>
    <xdr:sp>
      <xdr:nvSpPr>
        <xdr:cNvPr id="42" name="Straight Connector 3555713"/>
        <xdr:cNvSpPr>
          <a:spLocks/>
        </xdr:cNvSpPr>
      </xdr:nvSpPr>
      <xdr:spPr>
        <a:xfrm>
          <a:off x="3505200" y="36480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19050</xdr:colOff>
      <xdr:row>18</xdr:row>
      <xdr:rowOff>85725</xdr:rowOff>
    </xdr:to>
    <xdr:sp>
      <xdr:nvSpPr>
        <xdr:cNvPr id="43" name="Straight Connector 3555714"/>
        <xdr:cNvSpPr>
          <a:spLocks/>
        </xdr:cNvSpPr>
      </xdr:nvSpPr>
      <xdr:spPr>
        <a:xfrm>
          <a:off x="3505200" y="3000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95250</xdr:rowOff>
    </xdr:from>
    <xdr:to>
      <xdr:col>8</xdr:col>
      <xdr:colOff>19050</xdr:colOff>
      <xdr:row>18</xdr:row>
      <xdr:rowOff>85725</xdr:rowOff>
    </xdr:to>
    <xdr:sp>
      <xdr:nvSpPr>
        <xdr:cNvPr id="44" name="Straight Connector 3555715"/>
        <xdr:cNvSpPr>
          <a:spLocks/>
        </xdr:cNvSpPr>
      </xdr:nvSpPr>
      <xdr:spPr>
        <a:xfrm flipV="1">
          <a:off x="3505200" y="23622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19050</xdr:colOff>
      <xdr:row>22</xdr:row>
      <xdr:rowOff>66675</xdr:rowOff>
    </xdr:to>
    <xdr:sp>
      <xdr:nvSpPr>
        <xdr:cNvPr id="45" name="Straight Connector 3555716"/>
        <xdr:cNvSpPr>
          <a:spLocks/>
        </xdr:cNvSpPr>
      </xdr:nvSpPr>
      <xdr:spPr>
        <a:xfrm>
          <a:off x="3505200" y="30003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8</xdr:col>
      <xdr:colOff>19050</xdr:colOff>
      <xdr:row>14</xdr:row>
      <xdr:rowOff>85725</xdr:rowOff>
    </xdr:to>
    <xdr:sp>
      <xdr:nvSpPr>
        <xdr:cNvPr id="46" name="Straight Connector 3555717"/>
        <xdr:cNvSpPr>
          <a:spLocks/>
        </xdr:cNvSpPr>
      </xdr:nvSpPr>
      <xdr:spPr>
        <a:xfrm>
          <a:off x="3505200" y="2352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19050</xdr:colOff>
      <xdr:row>14</xdr:row>
      <xdr:rowOff>85725</xdr:rowOff>
    </xdr:to>
    <xdr:sp>
      <xdr:nvSpPr>
        <xdr:cNvPr id="47" name="Straight Connector 3555718"/>
        <xdr:cNvSpPr>
          <a:spLocks/>
        </xdr:cNvSpPr>
      </xdr:nvSpPr>
      <xdr:spPr>
        <a:xfrm flipV="1">
          <a:off x="3505200" y="17145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8</xdr:col>
      <xdr:colOff>19050</xdr:colOff>
      <xdr:row>18</xdr:row>
      <xdr:rowOff>66675</xdr:rowOff>
    </xdr:to>
    <xdr:sp>
      <xdr:nvSpPr>
        <xdr:cNvPr id="48" name="Straight Connector 3555719"/>
        <xdr:cNvSpPr>
          <a:spLocks/>
        </xdr:cNvSpPr>
      </xdr:nvSpPr>
      <xdr:spPr>
        <a:xfrm>
          <a:off x="3505200" y="23526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47625</xdr:rowOff>
    </xdr:from>
    <xdr:to>
      <xdr:col>16</xdr:col>
      <xdr:colOff>161925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781550" y="47625"/>
        <a:ext cx="45815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27</xdr:row>
      <xdr:rowOff>85725</xdr:rowOff>
    </xdr:from>
    <xdr:to>
      <xdr:col>12</xdr:col>
      <xdr:colOff>180975</xdr:colOff>
      <xdr:row>51</xdr:row>
      <xdr:rowOff>19050</xdr:rowOff>
    </xdr:to>
    <xdr:graphicFrame>
      <xdr:nvGraphicFramePr>
        <xdr:cNvPr id="1" name="Chart 3"/>
        <xdr:cNvGraphicFramePr/>
      </xdr:nvGraphicFramePr>
      <xdr:xfrm>
        <a:off x="2924175" y="4733925"/>
        <a:ext cx="6219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3:L18"/>
  <sheetViews>
    <sheetView zoomScalePageLayoutView="0" workbookViewId="0" topLeftCell="A1">
      <selection activeCell="X24" sqref="X24"/>
    </sheetView>
  </sheetViews>
  <sheetFormatPr defaultColWidth="9.140625" defaultRowHeight="12.75"/>
  <cols>
    <col min="1" max="1" width="2.140625" style="60" customWidth="1"/>
    <col min="2" max="16384" width="9.140625" style="60" customWidth="1"/>
  </cols>
  <sheetData>
    <row r="2" ht="13.5" thickBot="1"/>
    <row r="3" spans="2:12" ht="45.75">
      <c r="B3" s="183" t="s">
        <v>352</v>
      </c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2:12" ht="15.75">
      <c r="B4" s="186" t="s">
        <v>136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2" ht="20.25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2" ht="20.25"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9"/>
    </row>
    <row r="7" spans="2:12" ht="20.25">
      <c r="B7" s="190" t="s">
        <v>137</v>
      </c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2:12" ht="20.25">
      <c r="B8" s="190" t="s">
        <v>201</v>
      </c>
      <c r="C8" s="191"/>
      <c r="D8" s="191"/>
      <c r="E8" s="191"/>
      <c r="F8" s="191"/>
      <c r="G8" s="191"/>
      <c r="H8" s="191"/>
      <c r="I8" s="191"/>
      <c r="J8" s="191"/>
      <c r="K8" s="191"/>
      <c r="L8" s="192"/>
    </row>
    <row r="9" spans="2:12" ht="12.75"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2:12" ht="30.75">
      <c r="B10" s="176" t="s">
        <v>353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8"/>
    </row>
    <row r="11" spans="2:12" ht="12.75">
      <c r="B11" s="94"/>
      <c r="C11" s="93"/>
      <c r="D11" s="93"/>
      <c r="E11" s="93"/>
      <c r="F11" s="93"/>
      <c r="G11" s="93"/>
      <c r="H11" s="93"/>
      <c r="I11" s="93"/>
      <c r="J11" s="93"/>
      <c r="K11" s="93"/>
      <c r="L11" s="95"/>
    </row>
    <row r="12" spans="2:12" ht="12.75">
      <c r="B12" s="94"/>
      <c r="C12" s="93"/>
      <c r="D12" s="93"/>
      <c r="E12" s="93"/>
      <c r="F12" s="93"/>
      <c r="G12" s="93"/>
      <c r="H12" s="93"/>
      <c r="I12" s="93"/>
      <c r="J12" s="93"/>
      <c r="K12" s="93"/>
      <c r="L12" s="95"/>
    </row>
    <row r="13" spans="2:12" ht="12.75"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5"/>
    </row>
    <row r="14" spans="2:12" ht="15.75">
      <c r="B14" s="179" t="s">
        <v>354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1"/>
    </row>
    <row r="15" spans="2:12" ht="15.75">
      <c r="B15" s="182" t="s">
        <v>141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1"/>
    </row>
    <row r="16" spans="2:12" ht="12.75"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2:12" ht="12.75">
      <c r="B17" s="173" t="s">
        <v>207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2:12" ht="13.5" thickBot="1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2"/>
    </row>
  </sheetData>
  <sheetProtection/>
  <mergeCells count="13">
    <mergeCell ref="B3:L3"/>
    <mergeCell ref="B4:L4"/>
    <mergeCell ref="B5:L5"/>
    <mergeCell ref="B6:L6"/>
    <mergeCell ref="B7:L7"/>
    <mergeCell ref="B8:L8"/>
    <mergeCell ref="B18:L18"/>
    <mergeCell ref="B9:L9"/>
    <mergeCell ref="B10:L10"/>
    <mergeCell ref="B14:L14"/>
    <mergeCell ref="B15:L15"/>
    <mergeCell ref="B16:L16"/>
    <mergeCell ref="B17:L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203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4.140625" style="1" customWidth="1"/>
    <col min="2" max="3" width="9.140625" style="1" customWidth="1"/>
    <col min="4" max="4" width="10.7109375" style="1" customWidth="1"/>
    <col min="5" max="5" width="2.7109375" style="1" customWidth="1"/>
    <col min="6" max="6" width="9.8515625" style="1" bestFit="1" customWidth="1"/>
    <col min="7" max="7" width="9.140625" style="1" customWidth="1"/>
    <col min="8" max="8" width="2.7109375" style="1" customWidth="1"/>
    <col min="9" max="9" width="4.7109375" style="1" customWidth="1"/>
    <col min="10" max="11" width="9.140625" style="1" customWidth="1"/>
    <col min="12" max="12" width="12.28125" style="1" customWidth="1"/>
    <col min="13" max="13" width="4.7109375" style="1" customWidth="1"/>
    <col min="14" max="14" width="8.8515625" style="1" customWidth="1"/>
    <col min="15" max="16" width="12.7109375" style="1" customWidth="1"/>
    <col min="17" max="17" width="2.7109375" style="1" customWidth="1"/>
    <col min="18" max="18" width="8.8515625" style="1" customWidth="1"/>
    <col min="19" max="19" width="2.7109375" style="1" customWidth="1"/>
    <col min="20" max="20" width="8.8515625" style="1" customWidth="1"/>
    <col min="21" max="21" width="2.7109375" style="1" customWidth="1"/>
    <col min="22" max="22" width="8.8515625" style="1" customWidth="1"/>
    <col min="23" max="23" width="2.7109375" style="1" customWidth="1"/>
    <col min="24" max="24" width="8.8515625" style="1" customWidth="1"/>
    <col min="25" max="25" width="2.7109375" style="1" customWidth="1"/>
    <col min="26" max="26" width="8.8515625" style="1" customWidth="1"/>
    <col min="27" max="27" width="2.7109375" style="1" customWidth="1"/>
    <col min="28" max="28" width="8.8515625" style="1" customWidth="1"/>
    <col min="29" max="29" width="2.7109375" style="1" customWidth="1"/>
    <col min="30" max="30" width="9.140625" style="0" customWidth="1"/>
    <col min="32" max="33" width="12.7109375" style="0" bestFit="1" customWidth="1"/>
    <col min="34" max="34" width="13.57421875" style="0" bestFit="1" customWidth="1"/>
    <col min="35" max="16384" width="9.140625" style="1" customWidth="1"/>
  </cols>
  <sheetData>
    <row r="1" spans="1:29" ht="12.75">
      <c r="A1" s="72"/>
      <c r="B1" s="76" t="s">
        <v>0</v>
      </c>
      <c r="C1" s="73"/>
      <c r="D1" s="73"/>
      <c r="E1" s="73"/>
      <c r="F1" s="2"/>
      <c r="G1" s="2"/>
      <c r="H1" s="74"/>
      <c r="I1" s="4"/>
      <c r="J1" s="81" t="s">
        <v>186</v>
      </c>
      <c r="K1" s="4"/>
      <c r="L1" s="4"/>
      <c r="M1" s="3"/>
      <c r="N1"/>
      <c r="O1" s="71" t="s">
        <v>163</v>
      </c>
      <c r="P1" s="85">
        <v>1</v>
      </c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2.75">
      <c r="A2" s="5"/>
      <c r="B2" s="14"/>
      <c r="C2" s="15"/>
      <c r="D2" s="14"/>
      <c r="E2" s="14"/>
      <c r="F2" s="10"/>
      <c r="G2" s="15"/>
      <c r="H2" s="3"/>
      <c r="I2" s="4"/>
      <c r="J2" s="80" t="s">
        <v>157</v>
      </c>
      <c r="K2" s="4"/>
      <c r="L2" s="4"/>
      <c r="M2" s="3"/>
      <c r="N2"/>
      <c r="O2" s="83" t="s">
        <v>206</v>
      </c>
      <c r="P2" s="83" t="s">
        <v>169</v>
      </c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2.75">
      <c r="A3" s="5"/>
      <c r="B3" s="14"/>
      <c r="C3" s="14"/>
      <c r="D3" s="14"/>
      <c r="E3" s="14"/>
      <c r="F3" s="10"/>
      <c r="G3" s="15"/>
      <c r="H3" s="3"/>
      <c r="I3" s="4"/>
      <c r="J3" s="4"/>
      <c r="K3" s="4"/>
      <c r="L3" s="4"/>
      <c r="M3" s="3"/>
      <c r="N3"/>
      <c r="O3" s="84">
        <v>40</v>
      </c>
      <c r="P3" s="84">
        <v>11.031226249025282</v>
      </c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2.75">
      <c r="A4" s="5"/>
      <c r="B4" s="6"/>
      <c r="C4" s="6"/>
      <c r="D4" s="6"/>
      <c r="E4" s="75"/>
      <c r="F4" s="10"/>
      <c r="G4" s="15"/>
      <c r="H4" s="3"/>
      <c r="I4" s="4"/>
      <c r="J4" s="4"/>
      <c r="K4" s="4"/>
      <c r="L4" s="4"/>
      <c r="M4" s="3"/>
      <c r="N4"/>
      <c r="O4" s="84">
        <v>40.10050251256281</v>
      </c>
      <c r="P4" s="84">
        <v>10.953873960068313</v>
      </c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2.75">
      <c r="A5" s="5"/>
      <c r="B5" s="14"/>
      <c r="C5" s="24" t="s">
        <v>60</v>
      </c>
      <c r="D5" s="7">
        <v>100</v>
      </c>
      <c r="E5" s="14"/>
      <c r="F5" s="10"/>
      <c r="G5" s="15"/>
      <c r="H5" s="3"/>
      <c r="I5" s="4"/>
      <c r="J5" s="80" t="s">
        <v>158</v>
      </c>
      <c r="K5" s="4"/>
      <c r="L5" s="4"/>
      <c r="M5" s="3"/>
      <c r="N5"/>
      <c r="O5" s="84">
        <v>40.20100502512563</v>
      </c>
      <c r="P5" s="84">
        <v>10.876521671111341</v>
      </c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.75">
      <c r="A6" s="5"/>
      <c r="B6" s="14"/>
      <c r="C6" s="24" t="s">
        <v>2</v>
      </c>
      <c r="D6" s="8">
        <v>0.3</v>
      </c>
      <c r="E6" s="14"/>
      <c r="F6" s="10"/>
      <c r="G6" s="15"/>
      <c r="H6" s="3"/>
      <c r="I6" s="4"/>
      <c r="J6" s="4"/>
      <c r="K6" s="4"/>
      <c r="L6" s="4"/>
      <c r="M6" s="3"/>
      <c r="N6"/>
      <c r="O6" s="84">
        <v>40.301507537688444</v>
      </c>
      <c r="P6" s="84">
        <v>10.799169382154375</v>
      </c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.75">
      <c r="A7" s="5"/>
      <c r="B7" s="14"/>
      <c r="C7" s="24" t="s">
        <v>3</v>
      </c>
      <c r="D7" s="8">
        <v>0.02</v>
      </c>
      <c r="E7" s="14"/>
      <c r="F7" s="10"/>
      <c r="G7" s="15"/>
      <c r="H7" s="3"/>
      <c r="I7" s="4"/>
      <c r="J7" s="4"/>
      <c r="K7" s="4"/>
      <c r="L7" s="4"/>
      <c r="M7" s="3"/>
      <c r="N7"/>
      <c r="O7" s="84">
        <v>40.402010050251256</v>
      </c>
      <c r="P7" s="84">
        <v>10.721817093197405</v>
      </c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5"/>
      <c r="B8" s="14"/>
      <c r="C8" s="24" t="s">
        <v>61</v>
      </c>
      <c r="D8" s="8"/>
      <c r="E8" s="14"/>
      <c r="F8" s="10"/>
      <c r="G8" s="15"/>
      <c r="H8" s="3"/>
      <c r="I8" s="4"/>
      <c r="J8" s="4"/>
      <c r="K8" s="82" t="s">
        <v>159</v>
      </c>
      <c r="L8" s="9">
        <v>40</v>
      </c>
      <c r="M8" s="3"/>
      <c r="N8"/>
      <c r="O8" s="84">
        <v>40.50251256281407</v>
      </c>
      <c r="P8" s="84">
        <v>10.644464804240437</v>
      </c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5"/>
      <c r="B9" s="14"/>
      <c r="C9" s="14"/>
      <c r="D9" s="14"/>
      <c r="E9" s="14"/>
      <c r="F9" s="10"/>
      <c r="G9" s="10"/>
      <c r="H9" s="3"/>
      <c r="I9" s="4"/>
      <c r="J9" s="4"/>
      <c r="K9" s="82" t="s">
        <v>160</v>
      </c>
      <c r="L9" s="9">
        <v>60</v>
      </c>
      <c r="M9" s="3"/>
      <c r="N9"/>
      <c r="O9" s="84">
        <v>40.60301507537689</v>
      </c>
      <c r="P9" s="84">
        <v>10.56711251528346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5"/>
      <c r="B10" s="78" t="s">
        <v>4</v>
      </c>
      <c r="C10" s="14"/>
      <c r="D10" s="14"/>
      <c r="E10" s="14"/>
      <c r="F10" s="14"/>
      <c r="G10" s="14"/>
      <c r="H10" s="3"/>
      <c r="I10" s="4"/>
      <c r="J10" s="4"/>
      <c r="K10" s="82" t="s">
        <v>161</v>
      </c>
      <c r="L10" s="9">
        <v>200</v>
      </c>
      <c r="M10" s="3"/>
      <c r="N10"/>
      <c r="O10" s="84">
        <v>40.7035175879397</v>
      </c>
      <c r="P10" s="84">
        <v>10.489760226326494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5"/>
      <c r="B11" s="15"/>
      <c r="C11" s="15"/>
      <c r="D11" s="14"/>
      <c r="E11" s="14"/>
      <c r="F11" s="14"/>
      <c r="G11" s="14"/>
      <c r="H11" s="3"/>
      <c r="I11" s="4"/>
      <c r="J11" s="4"/>
      <c r="K11" s="4"/>
      <c r="L11" s="4"/>
      <c r="M11" s="3"/>
      <c r="N11"/>
      <c r="O11" s="84">
        <v>40.80402010050251</v>
      </c>
      <c r="P11" s="84">
        <v>10.412407937369528</v>
      </c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2.75">
      <c r="A12" s="5"/>
      <c r="B12" s="14"/>
      <c r="C12" s="14"/>
      <c r="D12" s="14"/>
      <c r="E12" s="14"/>
      <c r="F12" s="14"/>
      <c r="G12" s="14"/>
      <c r="H12" s="3"/>
      <c r="I12" s="4"/>
      <c r="J12" s="4"/>
      <c r="K12" s="4"/>
      <c r="L12" s="4"/>
      <c r="M12" s="3"/>
      <c r="N12"/>
      <c r="O12" s="84">
        <v>40.904522613065325</v>
      </c>
      <c r="P12" s="84">
        <v>10.33505564841256</v>
      </c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2.75">
      <c r="A13" s="5"/>
      <c r="B13" s="16"/>
      <c r="C13" s="17" t="s">
        <v>176</v>
      </c>
      <c r="D13" s="18">
        <v>1</v>
      </c>
      <c r="E13" s="14"/>
      <c r="F13" s="14"/>
      <c r="G13" s="14"/>
      <c r="H13" s="3"/>
      <c r="I13" s="4"/>
      <c r="J13" s="4"/>
      <c r="K13" s="4"/>
      <c r="L13" s="4"/>
      <c r="M13" s="3"/>
      <c r="N13"/>
      <c r="O13" s="84">
        <v>41.005025125628144</v>
      </c>
      <c r="P13" s="84">
        <v>10.257703359455583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2.75">
      <c r="A14" s="5"/>
      <c r="B14" s="16"/>
      <c r="C14" s="17" t="s">
        <v>178</v>
      </c>
      <c r="D14" s="7">
        <v>100</v>
      </c>
      <c r="E14" s="14"/>
      <c r="F14" s="14"/>
      <c r="G14" s="14"/>
      <c r="H14" s="3"/>
      <c r="I14" s="4"/>
      <c r="J14" s="4"/>
      <c r="K14" s="4"/>
      <c r="L14" s="4"/>
      <c r="M14" s="3"/>
      <c r="N14"/>
      <c r="O14" s="84">
        <v>41.10552763819096</v>
      </c>
      <c r="P14" s="84">
        <v>10.180351070498615</v>
      </c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2.75">
      <c r="A15" s="5"/>
      <c r="B15" s="16"/>
      <c r="C15" s="17" t="s">
        <v>21</v>
      </c>
      <c r="D15" s="169">
        <v>500</v>
      </c>
      <c r="E15" s="14"/>
      <c r="F15" s="14"/>
      <c r="G15" s="14"/>
      <c r="H15" s="3"/>
      <c r="I15" s="4"/>
      <c r="J15" s="4"/>
      <c r="K15" s="4"/>
      <c r="L15" s="4"/>
      <c r="M15" s="3"/>
      <c r="N15"/>
      <c r="O15" s="84">
        <v>41.20603015075377</v>
      </c>
      <c r="P15" s="84">
        <v>10.102998781541649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3.5" thickBot="1">
      <c r="A16" s="79"/>
      <c r="B16" s="16"/>
      <c r="C16" s="17"/>
      <c r="D16" s="10"/>
      <c r="E16" s="16"/>
      <c r="F16" s="16"/>
      <c r="G16" s="16"/>
      <c r="H16" s="69"/>
      <c r="I16" s="12"/>
      <c r="J16" s="12"/>
      <c r="K16" s="12"/>
      <c r="L16" s="12"/>
      <c r="M16" s="13"/>
      <c r="N16"/>
      <c r="O16" s="84">
        <v>41.30653266331658</v>
      </c>
      <c r="P16" s="84">
        <v>10.025646492584679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>
      <c r="A17" s="5"/>
      <c r="B17" s="16"/>
      <c r="C17" s="17"/>
      <c r="D17" s="10"/>
      <c r="E17" s="14"/>
      <c r="F17" s="14"/>
      <c r="G17" s="14"/>
      <c r="H17" s="3"/>
      <c r="I17"/>
      <c r="J17"/>
      <c r="K17"/>
      <c r="L17"/>
      <c r="M17"/>
      <c r="N17"/>
      <c r="O17" s="84">
        <v>41.4070351758794</v>
      </c>
      <c r="P17" s="84">
        <v>9.953126980366974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3.5" thickBot="1">
      <c r="A18" s="5"/>
      <c r="B18" s="16"/>
      <c r="C18" s="14"/>
      <c r="D18" s="10"/>
      <c r="E18" s="14"/>
      <c r="F18" s="14"/>
      <c r="G18" s="14"/>
      <c r="H18" s="3"/>
      <c r="I18"/>
      <c r="J18"/>
      <c r="K18"/>
      <c r="L18"/>
      <c r="M18"/>
      <c r="N18"/>
      <c r="O18" s="84">
        <v>41.50753768844221</v>
      </c>
      <c r="P18" s="84">
        <v>9.88788027512777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3.5" thickTop="1">
      <c r="A19" s="19"/>
      <c r="B19" s="77" t="s">
        <v>156</v>
      </c>
      <c r="C19" s="20"/>
      <c r="D19" s="21"/>
      <c r="E19" s="22"/>
      <c r="F19" s="22"/>
      <c r="G19" s="22"/>
      <c r="H19" s="23"/>
      <c r="I19"/>
      <c r="J19"/>
      <c r="K19"/>
      <c r="L19"/>
      <c r="M19"/>
      <c r="N19"/>
      <c r="O19" s="84">
        <v>41.608040201005025</v>
      </c>
      <c r="P19" s="84">
        <v>9.822633569888566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>
      <c r="A20" s="5"/>
      <c r="B20" s="14"/>
      <c r="C20" s="24" t="s">
        <v>8</v>
      </c>
      <c r="D20" s="9">
        <v>12.815667747123443</v>
      </c>
      <c r="E20" s="14"/>
      <c r="F20" s="14"/>
      <c r="G20" s="14"/>
      <c r="H20" s="3"/>
      <c r="I20"/>
      <c r="J20"/>
      <c r="K20"/>
      <c r="L20"/>
      <c r="M20"/>
      <c r="N20"/>
      <c r="O20" s="84">
        <v>41.70854271356784</v>
      </c>
      <c r="P20" s="84">
        <v>9.757386864649364</v>
      </c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>
      <c r="A21" s="5"/>
      <c r="B21" s="14"/>
      <c r="C21" s="24" t="s">
        <v>9</v>
      </c>
      <c r="D21" s="9">
        <v>0.5857235369184436</v>
      </c>
      <c r="E21" s="14"/>
      <c r="F21" s="14"/>
      <c r="G21" s="14"/>
      <c r="H21" s="3"/>
      <c r="I21"/>
      <c r="J21"/>
      <c r="K21"/>
      <c r="L21"/>
      <c r="M21"/>
      <c r="N21"/>
      <c r="O21" s="84">
        <v>41.80904522613066</v>
      </c>
      <c r="P21" s="84">
        <v>9.692140159410158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>
      <c r="A22" s="5"/>
      <c r="B22" s="14"/>
      <c r="C22" s="24" t="s">
        <v>10</v>
      </c>
      <c r="D22" s="9">
        <v>0.013008762177430067</v>
      </c>
      <c r="E22" s="14"/>
      <c r="F22" s="14"/>
      <c r="G22" s="14"/>
      <c r="H22" s="3"/>
      <c r="I22"/>
      <c r="J22"/>
      <c r="K22"/>
      <c r="L22"/>
      <c r="M22"/>
      <c r="N22"/>
      <c r="O22" s="84">
        <v>41.90954773869347</v>
      </c>
      <c r="P22" s="84">
        <v>9.626893454170954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.75">
      <c r="A23" s="5"/>
      <c r="B23" s="14"/>
      <c r="C23" s="24" t="s">
        <v>11</v>
      </c>
      <c r="D23" s="9">
        <v>0.38937277380622426</v>
      </c>
      <c r="E23" s="14"/>
      <c r="F23" s="14"/>
      <c r="G23" s="14"/>
      <c r="H23" s="3"/>
      <c r="I23"/>
      <c r="J23"/>
      <c r="K23"/>
      <c r="L23"/>
      <c r="M23"/>
      <c r="N23"/>
      <c r="O23" s="84">
        <v>42.01005025125628</v>
      </c>
      <c r="P23" s="84">
        <v>9.561646748931755</v>
      </c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>
      <c r="A24" s="5"/>
      <c r="B24" s="14"/>
      <c r="C24" s="25" t="s">
        <v>12</v>
      </c>
      <c r="D24" s="9">
        <v>-0.018547057385426204</v>
      </c>
      <c r="E24" s="14"/>
      <c r="F24" s="14"/>
      <c r="G24" s="14"/>
      <c r="H24" s="3"/>
      <c r="I24"/>
      <c r="J24"/>
      <c r="K24"/>
      <c r="L24"/>
      <c r="M24"/>
      <c r="N24"/>
      <c r="O24" s="84">
        <v>42.11055276381909</v>
      </c>
      <c r="P24" s="84">
        <v>9.49640004369255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>
      <c r="A25" s="5"/>
      <c r="B25" s="14"/>
      <c r="C25" s="24" t="s">
        <v>13</v>
      </c>
      <c r="D25" s="9">
        <v>0.4617406073745993</v>
      </c>
      <c r="E25" s="14"/>
      <c r="F25" s="14"/>
      <c r="G25" s="14"/>
      <c r="H25" s="3"/>
      <c r="I25"/>
      <c r="J25"/>
      <c r="K25"/>
      <c r="L25"/>
      <c r="M25"/>
      <c r="N25"/>
      <c r="O25" s="84">
        <v>42.21105527638191</v>
      </c>
      <c r="P25" s="84">
        <v>9.431153338453342</v>
      </c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3.5" thickBot="1">
      <c r="A26" s="11"/>
      <c r="B26" s="12"/>
      <c r="C26" s="12"/>
      <c r="D26" s="12"/>
      <c r="E26" s="12"/>
      <c r="F26" s="12"/>
      <c r="G26" s="12"/>
      <c r="H26" s="13"/>
      <c r="I26"/>
      <c r="J26"/>
      <c r="K26"/>
      <c r="L26"/>
      <c r="M26"/>
      <c r="N26"/>
      <c r="O26" s="84">
        <v>42.311557788944725</v>
      </c>
      <c r="P26" s="84">
        <v>9.36590663321414</v>
      </c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9:29" ht="12.75">
      <c r="I27"/>
      <c r="J27"/>
      <c r="K27"/>
      <c r="L27"/>
      <c r="M27"/>
      <c r="N27"/>
      <c r="O27" s="84">
        <v>42.41206030150754</v>
      </c>
      <c r="P27" s="84">
        <v>9.300659927974937</v>
      </c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0:29" ht="12.75">
      <c r="J28"/>
      <c r="K28"/>
      <c r="L28"/>
      <c r="M28"/>
      <c r="N28"/>
      <c r="O28" s="84">
        <v>42.51256281407035</v>
      </c>
      <c r="P28" s="84">
        <v>9.235413222735737</v>
      </c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0:29" ht="12.75">
      <c r="J29"/>
      <c r="K29"/>
      <c r="L29"/>
      <c r="M29"/>
      <c r="N29"/>
      <c r="O29" s="84">
        <v>42.61306532663317</v>
      </c>
      <c r="P29" s="84">
        <v>9.170166517496527</v>
      </c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0:29" ht="12.75">
      <c r="J30"/>
      <c r="K30"/>
      <c r="L30"/>
      <c r="M30"/>
      <c r="N30"/>
      <c r="O30" s="84">
        <v>42.71356783919598</v>
      </c>
      <c r="P30" s="84">
        <v>9.104919812257325</v>
      </c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0:29" ht="12.75">
      <c r="J31"/>
      <c r="K31"/>
      <c r="L31"/>
      <c r="M31"/>
      <c r="N31"/>
      <c r="O31" s="84">
        <v>42.814070351758794</v>
      </c>
      <c r="P31" s="84">
        <v>9.039673107018125</v>
      </c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0:29" ht="12.75">
      <c r="J32"/>
      <c r="K32"/>
      <c r="L32"/>
      <c r="M32"/>
      <c r="N32"/>
      <c r="O32" s="84">
        <v>42.914572864321606</v>
      </c>
      <c r="P32" s="84">
        <v>8.97442640177892</v>
      </c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0:29" ht="12.75">
      <c r="J33"/>
      <c r="K33"/>
      <c r="L33"/>
      <c r="M33"/>
      <c r="N33"/>
      <c r="O33" s="84">
        <v>43.015075376884425</v>
      </c>
      <c r="P33" s="84">
        <v>8.909179696539713</v>
      </c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0:29" ht="12.75">
      <c r="J34"/>
      <c r="K34"/>
      <c r="L34"/>
      <c r="M34"/>
      <c r="N34"/>
      <c r="O34" s="84">
        <v>43.11557788944724</v>
      </c>
      <c r="P34" s="84">
        <v>8.84393299130051</v>
      </c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0:29" ht="12.75">
      <c r="J35"/>
      <c r="K35"/>
      <c r="L35"/>
      <c r="M35"/>
      <c r="N35"/>
      <c r="O35" s="84">
        <v>43.21608040201005</v>
      </c>
      <c r="P35" s="84">
        <v>8.778686286061308</v>
      </c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0:29" ht="12.75">
      <c r="J36"/>
      <c r="K36"/>
      <c r="L36"/>
      <c r="M36"/>
      <c r="N36"/>
      <c r="O36" s="84">
        <v>43.31658291457286</v>
      </c>
      <c r="P36" s="84">
        <v>8.713439580822104</v>
      </c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0:29" ht="12.75">
      <c r="J37"/>
      <c r="K37"/>
      <c r="L37"/>
      <c r="M37"/>
      <c r="N37"/>
      <c r="O37" s="84">
        <v>43.41708542713568</v>
      </c>
      <c r="P37" s="84">
        <v>8.648192875582899</v>
      </c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0:29" ht="12.75">
      <c r="J38"/>
      <c r="K38"/>
      <c r="L38"/>
      <c r="M38"/>
      <c r="N38"/>
      <c r="O38" s="84">
        <v>43.517587939698494</v>
      </c>
      <c r="P38" s="84">
        <v>8.582946170343698</v>
      </c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0:29" ht="12.75">
      <c r="J39"/>
      <c r="K39"/>
      <c r="L39"/>
      <c r="M39"/>
      <c r="N39"/>
      <c r="O39" s="84">
        <v>43.618090452261306</v>
      </c>
      <c r="P39" s="84">
        <v>8.517699465104494</v>
      </c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0:29" ht="12.75">
      <c r="J40"/>
      <c r="K40"/>
      <c r="L40"/>
      <c r="M40"/>
      <c r="N40"/>
      <c r="O40" s="84">
        <v>43.71859296482412</v>
      </c>
      <c r="P40" s="84">
        <v>8.45245275986529</v>
      </c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0:29" ht="12.75">
      <c r="J41"/>
      <c r="K41"/>
      <c r="L41"/>
      <c r="M41"/>
      <c r="N41"/>
      <c r="O41" s="84">
        <v>43.81909547738694</v>
      </c>
      <c r="P41" s="84">
        <v>8.387206054626082</v>
      </c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0:29" ht="12.75">
      <c r="J42"/>
      <c r="K42"/>
      <c r="L42"/>
      <c r="M42"/>
      <c r="N42"/>
      <c r="O42" s="84">
        <v>43.91959798994975</v>
      </c>
      <c r="P42" s="84">
        <v>8.32195934938688</v>
      </c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0:29" ht="12.75">
      <c r="J43"/>
      <c r="K43"/>
      <c r="L43"/>
      <c r="M43"/>
      <c r="N43"/>
      <c r="O43" s="84">
        <v>44.02010050251256</v>
      </c>
      <c r="P43" s="84">
        <v>8.256712644147678</v>
      </c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0:29" ht="12.75">
      <c r="J44"/>
      <c r="K44"/>
      <c r="L44"/>
      <c r="M44"/>
      <c r="N44"/>
      <c r="O44" s="84">
        <v>44.120603015075375</v>
      </c>
      <c r="P44" s="84">
        <v>8.191465938908477</v>
      </c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0:29" ht="12.75">
      <c r="J45"/>
      <c r="K45"/>
      <c r="L45"/>
      <c r="M45"/>
      <c r="N45"/>
      <c r="O45" s="84">
        <v>44.221105527638194</v>
      </c>
      <c r="P45" s="84">
        <v>8.12621923366927</v>
      </c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5:16" ht="12.75">
      <c r="O46" s="84">
        <v>44.321608040201006</v>
      </c>
      <c r="P46" s="84">
        <v>8.060972528430066</v>
      </c>
    </row>
    <row r="47" spans="15:16" ht="12.75">
      <c r="O47" s="84">
        <v>44.42211055276382</v>
      </c>
      <c r="P47" s="84">
        <v>7.995725823190864</v>
      </c>
    </row>
    <row r="48" spans="15:16" ht="12.75">
      <c r="O48" s="84">
        <v>44.52261306532663</v>
      </c>
      <c r="P48" s="84">
        <v>7.930479117951661</v>
      </c>
    </row>
    <row r="49" spans="15:16" ht="12.75">
      <c r="O49" s="84">
        <v>44.62311557788945</v>
      </c>
      <c r="P49" s="84">
        <v>7.865232412712452</v>
      </c>
    </row>
    <row r="50" spans="15:16" ht="12.75">
      <c r="O50" s="84">
        <v>44.72361809045226</v>
      </c>
      <c r="P50" s="84">
        <v>7.799985707473252</v>
      </c>
    </row>
    <row r="51" spans="15:16" ht="12.75">
      <c r="O51" s="84">
        <v>44.824120603015075</v>
      </c>
      <c r="P51" s="84">
        <v>7.734739002234049</v>
      </c>
    </row>
    <row r="52" spans="15:16" ht="12.75">
      <c r="O52" s="84">
        <v>44.92462311557789</v>
      </c>
      <c r="P52" s="84">
        <v>7.669492296994846</v>
      </c>
    </row>
    <row r="53" spans="15:16" ht="12.75">
      <c r="O53" s="84">
        <v>45.02512562814071</v>
      </c>
      <c r="P53" s="84">
        <v>7.60424559175564</v>
      </c>
    </row>
    <row r="54" spans="15:16" ht="12.75">
      <c r="O54" s="84">
        <v>45.12562814070352</v>
      </c>
      <c r="P54" s="84">
        <v>7.538998886516437</v>
      </c>
    </row>
    <row r="55" spans="15:16" ht="12.75">
      <c r="O55" s="84">
        <v>45.22613065326633</v>
      </c>
      <c r="P55" s="84">
        <v>7.4737521812772325</v>
      </c>
    </row>
    <row r="56" spans="15:16" ht="12.75">
      <c r="O56" s="84">
        <v>45.32663316582914</v>
      </c>
      <c r="P56" s="84">
        <v>7.40850547603803</v>
      </c>
    </row>
    <row r="57" spans="15:16" ht="12.75">
      <c r="O57" s="84">
        <v>45.42713567839196</v>
      </c>
      <c r="P57" s="84">
        <v>7.343258770798823</v>
      </c>
    </row>
    <row r="58" spans="15:16" ht="12.75">
      <c r="O58" s="84">
        <v>45.527638190954775</v>
      </c>
      <c r="P58" s="84">
        <v>7.278012065559621</v>
      </c>
    </row>
    <row r="59" spans="15:16" ht="12.75">
      <c r="O59" s="84">
        <v>45.62814070351759</v>
      </c>
      <c r="P59" s="84">
        <v>7.212765360320421</v>
      </c>
    </row>
    <row r="60" spans="15:16" ht="12.75">
      <c r="O60" s="84">
        <v>45.7286432160804</v>
      </c>
      <c r="P60" s="84">
        <v>7.149131063499103</v>
      </c>
    </row>
    <row r="61" spans="15:16" ht="12.75">
      <c r="O61" s="84">
        <v>45.82914572864322</v>
      </c>
      <c r="P61" s="84">
        <v>7.0984385182672485</v>
      </c>
    </row>
    <row r="62" spans="15:16" ht="12.75">
      <c r="O62" s="84">
        <v>45.92964824120603</v>
      </c>
      <c r="P62" s="84">
        <v>7.047745973035398</v>
      </c>
    </row>
    <row r="63" spans="15:16" ht="12.75">
      <c r="O63" s="84">
        <v>46.030150753768844</v>
      </c>
      <c r="P63" s="84">
        <v>6.9970534278035466</v>
      </c>
    </row>
    <row r="64" spans="15:16" ht="12.75">
      <c r="O64" s="84">
        <v>46.130653266331656</v>
      </c>
      <c r="P64" s="84">
        <v>6.946360882571697</v>
      </c>
    </row>
    <row r="65" spans="15:16" ht="12.75">
      <c r="O65" s="84">
        <v>46.231155778894475</v>
      </c>
      <c r="P65" s="84">
        <v>6.895668337339841</v>
      </c>
    </row>
    <row r="66" spans="15:16" ht="12.75">
      <c r="O66" s="84">
        <v>46.33165829145729</v>
      </c>
      <c r="P66" s="84">
        <v>6.8449757921079915</v>
      </c>
    </row>
    <row r="67" spans="15:16" ht="12.75">
      <c r="O67" s="84">
        <v>46.4321608040201</v>
      </c>
      <c r="P67" s="84">
        <v>6.794283246876141</v>
      </c>
    </row>
    <row r="68" spans="15:16" ht="12.75">
      <c r="O68" s="84">
        <v>46.53266331658291</v>
      </c>
      <c r="P68" s="84">
        <v>6.743590701644291</v>
      </c>
    </row>
    <row r="69" spans="15:16" ht="12.75">
      <c r="O69" s="84">
        <v>46.63316582914573</v>
      </c>
      <c r="P69" s="84">
        <v>6.692898156412436</v>
      </c>
    </row>
    <row r="70" spans="15:16" ht="12.75">
      <c r="O70" s="84">
        <v>46.733668341708544</v>
      </c>
      <c r="P70" s="84">
        <v>6.642205611180585</v>
      </c>
    </row>
    <row r="71" spans="15:16" ht="12.75">
      <c r="O71" s="84">
        <v>46.834170854271356</v>
      </c>
      <c r="P71" s="84">
        <v>6.5915130659487335</v>
      </c>
    </row>
    <row r="72" spans="15:16" ht="12.75">
      <c r="O72" s="84">
        <v>46.93467336683417</v>
      </c>
      <c r="P72" s="84">
        <v>6.540820520716884</v>
      </c>
    </row>
    <row r="73" spans="15:16" ht="12.75">
      <c r="O73" s="84">
        <v>47.03517587939699</v>
      </c>
      <c r="P73" s="84">
        <v>6.49012797548503</v>
      </c>
    </row>
    <row r="74" spans="15:16" ht="12.75">
      <c r="O74" s="84">
        <v>47.1356783919598</v>
      </c>
      <c r="P74" s="84">
        <v>6.4394354302531776</v>
      </c>
    </row>
    <row r="75" spans="15:16" ht="12.75">
      <c r="O75" s="84">
        <v>47.23618090452261</v>
      </c>
      <c r="P75" s="84">
        <v>6.388742885021328</v>
      </c>
    </row>
    <row r="76" spans="15:16" ht="12.75">
      <c r="O76" s="84">
        <v>47.336683417085425</v>
      </c>
      <c r="P76" s="84">
        <v>6.338050339789477</v>
      </c>
    </row>
    <row r="77" spans="15:16" ht="12.75">
      <c r="O77" s="84">
        <v>47.437185929648244</v>
      </c>
      <c r="P77" s="84">
        <v>6.287357794557624</v>
      </c>
    </row>
    <row r="78" spans="15:16" ht="12.75">
      <c r="O78" s="84">
        <v>47.537688442211056</v>
      </c>
      <c r="P78" s="84">
        <v>6.236665249325772</v>
      </c>
    </row>
    <row r="79" spans="15:16" ht="12.75">
      <c r="O79" s="84">
        <v>47.63819095477387</v>
      </c>
      <c r="P79" s="84">
        <v>6.18597270409392</v>
      </c>
    </row>
    <row r="80" spans="15:16" ht="12.75">
      <c r="O80" s="84">
        <v>47.73869346733668</v>
      </c>
      <c r="P80" s="84">
        <v>6.135280158862071</v>
      </c>
    </row>
    <row r="81" spans="15:16" ht="12.75">
      <c r="O81" s="84">
        <v>47.8391959798995</v>
      </c>
      <c r="P81" s="84">
        <v>6.084587613630217</v>
      </c>
    </row>
    <row r="82" spans="15:16" ht="12.75">
      <c r="O82" s="84">
        <v>47.93969849246231</v>
      </c>
      <c r="P82" s="84">
        <v>6.033895068398365</v>
      </c>
    </row>
    <row r="83" spans="15:16" ht="12.75">
      <c r="O83" s="84">
        <v>48.040201005025125</v>
      </c>
      <c r="P83" s="84">
        <v>5.983202523166515</v>
      </c>
    </row>
    <row r="84" spans="15:16" ht="12.75">
      <c r="O84" s="84">
        <v>48.14070351758794</v>
      </c>
      <c r="P84" s="84">
        <v>5.932509977934665</v>
      </c>
    </row>
    <row r="85" spans="15:16" ht="12.75">
      <c r="O85" s="84">
        <v>48.24120603015076</v>
      </c>
      <c r="P85" s="84">
        <v>5.881817432702809</v>
      </c>
    </row>
    <row r="86" spans="15:16" ht="12.75">
      <c r="O86" s="84">
        <v>48.34170854271357</v>
      </c>
      <c r="P86" s="84">
        <v>5.831124887470959</v>
      </c>
    </row>
    <row r="87" spans="15:16" ht="12.75">
      <c r="O87" s="84">
        <v>48.44221105527638</v>
      </c>
      <c r="P87" s="84">
        <v>5.7804323422391075</v>
      </c>
    </row>
    <row r="88" spans="15:16" ht="12.75">
      <c r="O88" s="84">
        <v>48.54271356783919</v>
      </c>
      <c r="P88" s="84">
        <v>5.729739797007257</v>
      </c>
    </row>
    <row r="89" spans="15:16" ht="12.75">
      <c r="O89" s="84">
        <v>48.64321608040201</v>
      </c>
      <c r="P89" s="84">
        <v>5.679047251775404</v>
      </c>
    </row>
    <row r="90" spans="15:16" ht="12.75">
      <c r="O90" s="84">
        <v>48.743718592964825</v>
      </c>
      <c r="P90" s="84">
        <v>5.628354706543553</v>
      </c>
    </row>
    <row r="91" spans="15:16" ht="12.75">
      <c r="O91" s="84">
        <v>48.84422110552764</v>
      </c>
      <c r="P91" s="84">
        <v>5.577662161311702</v>
      </c>
    </row>
    <row r="92" spans="15:16" ht="12.75">
      <c r="O92" s="84">
        <v>48.94472361809045</v>
      </c>
      <c r="P92" s="84">
        <v>5.526969616079851</v>
      </c>
    </row>
    <row r="93" spans="15:16" ht="12.75">
      <c r="O93" s="84">
        <v>49.04522613065327</v>
      </c>
      <c r="P93" s="84">
        <v>5.476277070847997</v>
      </c>
    </row>
    <row r="94" spans="15:16" ht="12.75">
      <c r="O94" s="84">
        <v>49.14572864321608</v>
      </c>
      <c r="P94" s="84">
        <v>5.425584525616147</v>
      </c>
    </row>
    <row r="95" spans="15:16" ht="12.75">
      <c r="O95" s="84">
        <v>49.246231155778894</v>
      </c>
      <c r="P95" s="84">
        <v>5.374891980384295</v>
      </c>
    </row>
    <row r="96" spans="15:16" ht="12.75">
      <c r="O96" s="84">
        <v>49.346733668341706</v>
      </c>
      <c r="P96" s="84">
        <v>5.324199435152445</v>
      </c>
    </row>
    <row r="97" spans="15:16" ht="12.75">
      <c r="O97" s="84">
        <v>49.447236180904525</v>
      </c>
      <c r="P97" s="84">
        <v>5.273506889920591</v>
      </c>
    </row>
    <row r="98" spans="15:16" ht="12.75">
      <c r="O98" s="84">
        <v>49.54773869346734</v>
      </c>
      <c r="P98" s="84">
        <v>5.22281434468874</v>
      </c>
    </row>
    <row r="99" spans="15:16" ht="12.75">
      <c r="O99" s="84">
        <v>49.64824120603015</v>
      </c>
      <c r="P99" s="84">
        <v>5.172121799456891</v>
      </c>
    </row>
    <row r="100" spans="15:16" ht="12.75">
      <c r="O100" s="84">
        <v>49.74874371859296</v>
      </c>
      <c r="P100" s="84">
        <v>5.121429254225039</v>
      </c>
    </row>
    <row r="101" spans="15:16" ht="12.75">
      <c r="O101" s="84">
        <v>49.84924623115578</v>
      </c>
      <c r="P101" s="84">
        <v>5.070736708993185</v>
      </c>
    </row>
    <row r="102" spans="15:16" ht="12.75">
      <c r="O102" s="84">
        <v>49.949748743718594</v>
      </c>
      <c r="P102" s="84">
        <v>5.020044163761335</v>
      </c>
    </row>
    <row r="103" spans="15:16" ht="12.75">
      <c r="O103" s="84">
        <v>50.050251256281406</v>
      </c>
      <c r="P103" s="84">
        <v>4.969351618529483</v>
      </c>
    </row>
    <row r="104" spans="15:16" ht="12.75">
      <c r="O104" s="84">
        <v>50.15075376884422</v>
      </c>
      <c r="P104" s="84">
        <v>4.918659073297633</v>
      </c>
    </row>
    <row r="105" spans="15:16" ht="12.75">
      <c r="O105" s="84">
        <v>50.25125628140704</v>
      </c>
      <c r="P105" s="84">
        <v>4.867966528065778</v>
      </c>
    </row>
    <row r="106" spans="15:16" ht="12.75">
      <c r="O106" s="84">
        <v>50.35175879396985</v>
      </c>
      <c r="P106" s="84">
        <v>4.817273982833928</v>
      </c>
    </row>
    <row r="107" spans="15:16" ht="12.75">
      <c r="O107" s="84">
        <v>50.45226130653266</v>
      </c>
      <c r="P107" s="84">
        <v>4.766581437602077</v>
      </c>
    </row>
    <row r="108" spans="15:16" ht="12.75">
      <c r="O108" s="84">
        <v>50.552763819095475</v>
      </c>
      <c r="P108" s="84">
        <v>4.719933490331862</v>
      </c>
    </row>
    <row r="109" spans="15:16" ht="12.75">
      <c r="O109" s="84">
        <v>50.653266331658294</v>
      </c>
      <c r="P109" s="84">
        <v>4.684239235744214</v>
      </c>
    </row>
    <row r="110" spans="15:16" ht="12.75">
      <c r="O110" s="84">
        <v>50.753768844221106</v>
      </c>
      <c r="P110" s="84">
        <v>4.648544981156568</v>
      </c>
    </row>
    <row r="111" spans="15:16" ht="12.75">
      <c r="O111" s="84">
        <v>50.85427135678392</v>
      </c>
      <c r="P111" s="84">
        <v>4.612850726568922</v>
      </c>
    </row>
    <row r="112" spans="15:16" ht="12.75">
      <c r="O112" s="84">
        <v>50.95477386934673</v>
      </c>
      <c r="P112" s="84">
        <v>4.577156471981276</v>
      </c>
    </row>
    <row r="113" spans="15:16" ht="12.75">
      <c r="O113" s="84">
        <v>51.05527638190955</v>
      </c>
      <c r="P113" s="84">
        <v>4.541462217393628</v>
      </c>
    </row>
    <row r="114" spans="15:16" ht="12.75">
      <c r="O114" s="84">
        <v>51.15577889447236</v>
      </c>
      <c r="P114" s="84">
        <v>4.505767962805982</v>
      </c>
    </row>
    <row r="115" spans="15:16" ht="12.75">
      <c r="O115" s="84">
        <v>51.256281407035175</v>
      </c>
      <c r="P115" s="84">
        <v>4.470073708218336</v>
      </c>
    </row>
    <row r="116" spans="15:16" ht="12.75">
      <c r="O116" s="84">
        <v>51.35678391959799</v>
      </c>
      <c r="P116" s="84">
        <v>4.434379453630689</v>
      </c>
    </row>
    <row r="117" spans="15:16" ht="12.75">
      <c r="O117" s="84">
        <v>51.45728643216081</v>
      </c>
      <c r="P117" s="84">
        <v>4.39868519904304</v>
      </c>
    </row>
    <row r="118" spans="15:16" ht="12.75">
      <c r="O118" s="84">
        <v>51.55778894472362</v>
      </c>
      <c r="P118" s="84">
        <v>4.362990944455394</v>
      </c>
    </row>
    <row r="119" spans="15:16" ht="12.75">
      <c r="O119" s="84">
        <v>51.65829145728643</v>
      </c>
      <c r="P119" s="84">
        <v>4.327296689867749</v>
      </c>
    </row>
    <row r="120" spans="15:16" ht="12.75">
      <c r="O120" s="84">
        <v>51.75879396984924</v>
      </c>
      <c r="P120" s="84">
        <v>4.291602435280103</v>
      </c>
    </row>
    <row r="121" spans="15:16" ht="12.75">
      <c r="O121" s="84">
        <v>51.85929648241206</v>
      </c>
      <c r="P121" s="84">
        <v>4.255908180692454</v>
      </c>
    </row>
    <row r="122" spans="15:16" ht="12.75">
      <c r="O122" s="84">
        <v>51.959798994974875</v>
      </c>
      <c r="P122" s="84">
        <v>4.220213926104808</v>
      </c>
    </row>
    <row r="123" spans="15:16" ht="12.75">
      <c r="O123" s="84">
        <v>52.06030150753769</v>
      </c>
      <c r="P123" s="84">
        <v>4.184519671517162</v>
      </c>
    </row>
    <row r="124" spans="15:16" ht="12.75">
      <c r="O124" s="84">
        <v>52.1608040201005</v>
      </c>
      <c r="P124" s="84">
        <v>4.148825416929516</v>
      </c>
    </row>
    <row r="125" spans="15:16" ht="12.75">
      <c r="O125" s="84">
        <v>52.26130653266332</v>
      </c>
      <c r="P125" s="84">
        <v>4.113131162341867</v>
      </c>
    </row>
    <row r="126" spans="15:16" ht="12.75">
      <c r="O126" s="84">
        <v>52.36180904522613</v>
      </c>
      <c r="P126" s="84">
        <v>4.077436907754222</v>
      </c>
    </row>
    <row r="127" spans="15:16" ht="12.75">
      <c r="O127" s="84">
        <v>52.462311557788944</v>
      </c>
      <c r="P127" s="84">
        <v>4.041742653166575</v>
      </c>
    </row>
    <row r="128" spans="15:16" ht="12.75">
      <c r="O128" s="84">
        <v>52.562814070351756</v>
      </c>
      <c r="P128" s="84">
        <v>4.00604839857893</v>
      </c>
    </row>
    <row r="129" spans="15:16" ht="12.75">
      <c r="O129" s="84">
        <v>52.663316582914575</v>
      </c>
      <c r="P129" s="84">
        <v>3.970354143991281</v>
      </c>
    </row>
    <row r="130" spans="15:16" ht="12.75">
      <c r="O130" s="84">
        <v>52.76381909547739</v>
      </c>
      <c r="P130" s="84">
        <v>3.9346598894036346</v>
      </c>
    </row>
    <row r="131" spans="15:16" ht="12.75">
      <c r="O131" s="84">
        <v>52.8643216080402</v>
      </c>
      <c r="P131" s="84">
        <v>3.8989656348159887</v>
      </c>
    </row>
    <row r="132" spans="15:16" ht="12.75">
      <c r="O132" s="84">
        <v>52.96482412060302</v>
      </c>
      <c r="P132" s="84">
        <v>3.863271380228339</v>
      </c>
    </row>
    <row r="133" spans="15:16" ht="12.75">
      <c r="O133" s="84">
        <v>53.06532663316583</v>
      </c>
      <c r="P133" s="84">
        <v>3.827577125640695</v>
      </c>
    </row>
    <row r="134" spans="15:16" ht="12.75">
      <c r="O134" s="84">
        <v>53.165829145728644</v>
      </c>
      <c r="P134" s="84">
        <v>3.791882871053048</v>
      </c>
    </row>
    <row r="135" spans="15:16" ht="12.75">
      <c r="O135" s="84">
        <v>53.266331658291456</v>
      </c>
      <c r="P135" s="84">
        <v>3.756188616465402</v>
      </c>
    </row>
    <row r="136" spans="15:16" ht="12.75">
      <c r="O136" s="84">
        <v>53.366834170854275</v>
      </c>
      <c r="P136" s="84">
        <v>3.7204943618777535</v>
      </c>
    </row>
    <row r="137" spans="15:16" ht="12.75">
      <c r="O137" s="84">
        <v>53.46733668341709</v>
      </c>
      <c r="P137" s="84">
        <v>3.684800107290108</v>
      </c>
    </row>
    <row r="138" spans="15:16" ht="12.75">
      <c r="O138" s="84">
        <v>53.5678391959799</v>
      </c>
      <c r="P138" s="84">
        <v>3.6491058527024616</v>
      </c>
    </row>
    <row r="139" spans="15:16" ht="12.75">
      <c r="O139" s="84">
        <v>53.66834170854271</v>
      </c>
      <c r="P139" s="84">
        <v>3.6134115981148156</v>
      </c>
    </row>
    <row r="140" spans="15:16" ht="12.75">
      <c r="O140" s="84">
        <v>53.76884422110553</v>
      </c>
      <c r="P140" s="84">
        <v>3.5777173435271665</v>
      </c>
    </row>
    <row r="141" spans="15:16" ht="12.75">
      <c r="O141" s="84">
        <v>53.869346733668344</v>
      </c>
      <c r="P141" s="84">
        <v>3.542023088939521</v>
      </c>
    </row>
    <row r="142" spans="15:16" ht="12.75">
      <c r="O142" s="84">
        <v>53.969849246231156</v>
      </c>
      <c r="P142" s="84">
        <v>3.506328834351875</v>
      </c>
    </row>
    <row r="143" spans="15:16" ht="12.75">
      <c r="O143" s="84">
        <v>54.07035175879397</v>
      </c>
      <c r="P143" s="84">
        <v>3.47063457976423</v>
      </c>
    </row>
    <row r="144" spans="15:16" ht="12.75">
      <c r="O144" s="84">
        <v>54.17085427135679</v>
      </c>
      <c r="P144" s="84">
        <v>3.4349403251765813</v>
      </c>
    </row>
    <row r="145" spans="15:16" ht="12.75">
      <c r="O145" s="84">
        <v>54.2713567839196</v>
      </c>
      <c r="P145" s="84">
        <v>3.3992460705889345</v>
      </c>
    </row>
    <row r="146" spans="15:16" ht="12.75">
      <c r="O146" s="84">
        <v>54.37185929648241</v>
      </c>
      <c r="P146" s="84">
        <v>3.363551816001288</v>
      </c>
    </row>
    <row r="147" spans="15:16" ht="12.75">
      <c r="O147" s="84">
        <v>54.472361809045225</v>
      </c>
      <c r="P147" s="84">
        <v>3.3278575614136425</v>
      </c>
    </row>
    <row r="148" spans="15:16" ht="12.75">
      <c r="O148" s="84">
        <v>54.572864321608044</v>
      </c>
      <c r="P148" s="84">
        <v>3.2921633068259935</v>
      </c>
    </row>
    <row r="149" spans="15:16" ht="12.75">
      <c r="O149" s="84">
        <v>54.67336683417086</v>
      </c>
      <c r="P149" s="84">
        <v>3.2564690522383484</v>
      </c>
    </row>
    <row r="150" spans="15:16" ht="12.75">
      <c r="O150" s="84">
        <v>54.77386934673367</v>
      </c>
      <c r="P150" s="84">
        <v>3.220774797650702</v>
      </c>
    </row>
    <row r="151" spans="15:16" ht="12.75">
      <c r="O151" s="84">
        <v>54.87437185929648</v>
      </c>
      <c r="P151" s="84">
        <v>3.185080543063056</v>
      </c>
    </row>
    <row r="152" spans="15:16" ht="12.75">
      <c r="O152" s="84">
        <v>54.9748743718593</v>
      </c>
      <c r="P152" s="84">
        <v>3.1493862884754074</v>
      </c>
    </row>
    <row r="153" spans="15:16" ht="12.75">
      <c r="O153" s="84">
        <v>55.07537688442211</v>
      </c>
      <c r="P153" s="84">
        <v>3.113692033887761</v>
      </c>
    </row>
    <row r="154" spans="15:16" ht="12.75">
      <c r="O154" s="84">
        <v>55.175879396984925</v>
      </c>
      <c r="P154" s="84">
        <v>3.077997779300115</v>
      </c>
    </row>
    <row r="155" spans="15:16" ht="12.75">
      <c r="O155" s="84">
        <v>55.27638190954774</v>
      </c>
      <c r="P155" s="84">
        <v>3.0423035247124695</v>
      </c>
    </row>
    <row r="156" spans="15:16" ht="12.75">
      <c r="O156" s="84">
        <v>55.37688442211056</v>
      </c>
      <c r="P156" s="84">
        <v>3.0066092701248204</v>
      </c>
    </row>
    <row r="157" spans="15:16" ht="12.75">
      <c r="O157" s="84">
        <v>55.47738693467337</v>
      </c>
      <c r="P157" s="84">
        <v>2.9709150155371753</v>
      </c>
    </row>
    <row r="158" spans="15:16" ht="12.75">
      <c r="O158" s="84">
        <v>55.57788944723618</v>
      </c>
      <c r="P158" s="84">
        <v>2.9352207609495284</v>
      </c>
    </row>
    <row r="159" spans="15:16" ht="12.75">
      <c r="O159" s="84">
        <v>55.678391959798994</v>
      </c>
      <c r="P159" s="84">
        <v>2.8995265063618825</v>
      </c>
    </row>
    <row r="160" spans="15:16" ht="12.75">
      <c r="O160" s="84">
        <v>55.77889447236181</v>
      </c>
      <c r="P160" s="84">
        <v>2.8638322517742343</v>
      </c>
    </row>
    <row r="161" spans="15:16" ht="12.75">
      <c r="O161" s="84">
        <v>55.879396984924625</v>
      </c>
      <c r="P161" s="84">
        <v>2.8333982433684115</v>
      </c>
    </row>
    <row r="162" spans="15:16" ht="12.75">
      <c r="O162" s="84">
        <v>55.97989949748744</v>
      </c>
      <c r="P162" s="84">
        <v>2.81095196670604</v>
      </c>
    </row>
    <row r="163" spans="15:16" ht="12.75">
      <c r="O163" s="84">
        <v>56.08040201005025</v>
      </c>
      <c r="P163" s="84">
        <v>2.7885056900436695</v>
      </c>
    </row>
    <row r="164" spans="15:16" ht="12.75">
      <c r="O164" s="84">
        <v>56.18090452261307</v>
      </c>
      <c r="P164" s="84">
        <v>2.766059413381297</v>
      </c>
    </row>
    <row r="165" spans="15:16" ht="12.75">
      <c r="O165" s="84">
        <v>56.28140703517588</v>
      </c>
      <c r="P165" s="84">
        <v>2.7436131367189254</v>
      </c>
    </row>
    <row r="166" spans="15:16" ht="12.75">
      <c r="O166" s="84">
        <v>56.381909547738694</v>
      </c>
      <c r="P166" s="84">
        <v>2.7211668600565546</v>
      </c>
    </row>
    <row r="167" spans="15:16" ht="12.75">
      <c r="O167" s="84">
        <v>56.482412060301506</v>
      </c>
      <c r="P167" s="84">
        <v>2.698720583394184</v>
      </c>
    </row>
    <row r="168" spans="15:16" ht="12.75">
      <c r="O168" s="84">
        <v>56.582914572864325</v>
      </c>
      <c r="P168" s="84">
        <v>2.676274306731811</v>
      </c>
    </row>
    <row r="169" spans="15:16" ht="12.75">
      <c r="O169" s="84">
        <v>56.68341708542714</v>
      </c>
      <c r="P169" s="84">
        <v>2.6538280300694406</v>
      </c>
    </row>
    <row r="170" spans="15:16" ht="12.75">
      <c r="O170" s="84">
        <v>56.78391959798995</v>
      </c>
      <c r="P170" s="84">
        <v>2.6313817534070694</v>
      </c>
    </row>
    <row r="171" spans="15:16" ht="12.75">
      <c r="O171" s="84">
        <v>56.88442211055276</v>
      </c>
      <c r="P171" s="84">
        <v>2.608935476744698</v>
      </c>
    </row>
    <row r="172" spans="15:16" ht="12.75">
      <c r="O172" s="84">
        <v>56.98492462311558</v>
      </c>
      <c r="P172" s="84">
        <v>2.5864892000823256</v>
      </c>
    </row>
    <row r="173" spans="15:16" ht="12.75">
      <c r="O173" s="84">
        <v>57.085427135678394</v>
      </c>
      <c r="P173" s="84">
        <v>2.5640429234199544</v>
      </c>
    </row>
    <row r="174" spans="15:16" ht="12.75">
      <c r="O174" s="84">
        <v>57.185929648241206</v>
      </c>
      <c r="P174" s="84">
        <v>2.5415966467575832</v>
      </c>
    </row>
    <row r="175" spans="15:16" ht="12.75">
      <c r="O175" s="84">
        <v>57.28643216080402</v>
      </c>
      <c r="P175" s="84">
        <v>2.519150370095212</v>
      </c>
    </row>
    <row r="176" spans="15:16" ht="12.75">
      <c r="O176" s="84">
        <v>57.38693467336684</v>
      </c>
      <c r="P176" s="84">
        <v>2.49670409343284</v>
      </c>
    </row>
    <row r="177" spans="15:16" ht="12.75">
      <c r="O177" s="84">
        <v>57.48743718592965</v>
      </c>
      <c r="P177" s="84">
        <v>2.4742578167704687</v>
      </c>
    </row>
    <row r="178" spans="15:16" ht="12.75">
      <c r="O178" s="84">
        <v>57.58793969849246</v>
      </c>
      <c r="P178" s="84">
        <v>2.451811540108098</v>
      </c>
    </row>
    <row r="179" spans="15:16" ht="12.75">
      <c r="O179" s="84">
        <v>57.688442211055275</v>
      </c>
      <c r="P179" s="84">
        <v>2.429365263445727</v>
      </c>
    </row>
    <row r="180" spans="15:16" ht="12.75">
      <c r="O180" s="84">
        <v>57.788944723618094</v>
      </c>
      <c r="P180" s="84">
        <v>2.4069189867833543</v>
      </c>
    </row>
    <row r="181" spans="15:16" ht="12.75">
      <c r="O181" s="84">
        <v>57.88944723618091</v>
      </c>
      <c r="P181" s="84">
        <v>2.3844727101209835</v>
      </c>
    </row>
    <row r="182" spans="15:16" ht="12.75">
      <c r="O182" s="84">
        <v>57.98994974874372</v>
      </c>
      <c r="P182" s="84">
        <v>2.3620264334586123</v>
      </c>
    </row>
    <row r="183" spans="15:16" ht="12.75">
      <c r="O183" s="84">
        <v>58.09045226130653</v>
      </c>
      <c r="P183" s="84">
        <v>2.3395801567962415</v>
      </c>
    </row>
    <row r="184" spans="15:16" ht="12.75">
      <c r="O184" s="84">
        <v>58.19095477386935</v>
      </c>
      <c r="P184" s="84">
        <v>2.3171338801338686</v>
      </c>
    </row>
    <row r="185" spans="15:16" ht="12.75">
      <c r="O185" s="84">
        <v>58.29145728643216</v>
      </c>
      <c r="P185" s="84">
        <v>2.294687603471498</v>
      </c>
    </row>
    <row r="186" spans="15:16" ht="12.75">
      <c r="O186" s="84">
        <v>58.391959798994975</v>
      </c>
      <c r="P186" s="84">
        <v>2.2722413268091266</v>
      </c>
    </row>
    <row r="187" spans="15:16" ht="12.75">
      <c r="O187" s="84">
        <v>58.49246231155779</v>
      </c>
      <c r="P187" s="84">
        <v>2.249795050146756</v>
      </c>
    </row>
    <row r="188" spans="15:16" ht="12.75">
      <c r="O188" s="84">
        <v>58.59296482412061</v>
      </c>
      <c r="P188" s="84">
        <v>2.227348773484383</v>
      </c>
    </row>
    <row r="189" spans="15:16" ht="12.75">
      <c r="O189" s="84">
        <v>58.69346733668342</v>
      </c>
      <c r="P189" s="84">
        <v>2.2049024968220117</v>
      </c>
    </row>
    <row r="190" spans="15:16" ht="12.75">
      <c r="O190" s="84">
        <v>58.79396984924623</v>
      </c>
      <c r="P190" s="84">
        <v>2.1824562201596405</v>
      </c>
    </row>
    <row r="191" spans="15:16" ht="12.75">
      <c r="O191" s="84">
        <v>58.89447236180904</v>
      </c>
      <c r="P191" s="84">
        <v>2.16000994349727</v>
      </c>
    </row>
    <row r="192" spans="15:16" ht="12.75">
      <c r="O192" s="84">
        <v>58.99497487437186</v>
      </c>
      <c r="P192" s="84">
        <v>2.137563666834898</v>
      </c>
    </row>
    <row r="193" spans="15:16" ht="12.75">
      <c r="O193" s="84">
        <v>59.095477386934675</v>
      </c>
      <c r="P193" s="84">
        <v>2.115117390172527</v>
      </c>
    </row>
    <row r="194" spans="15:16" ht="12.75">
      <c r="O194" s="84">
        <v>59.19597989949749</v>
      </c>
      <c r="P194" s="84">
        <v>2.0926711135101552</v>
      </c>
    </row>
    <row r="195" spans="15:16" ht="12.75">
      <c r="O195" s="84">
        <v>59.2964824120603</v>
      </c>
      <c r="P195" s="84">
        <v>2.0702248368477845</v>
      </c>
    </row>
    <row r="196" spans="15:16" ht="12.75">
      <c r="O196" s="84">
        <v>59.39698492462312</v>
      </c>
      <c r="P196" s="84">
        <v>2.047778560185412</v>
      </c>
    </row>
    <row r="197" spans="15:16" ht="12.75">
      <c r="O197" s="84">
        <v>59.49748743718593</v>
      </c>
      <c r="P197" s="84">
        <v>2.025332283523041</v>
      </c>
    </row>
    <row r="198" spans="15:16" ht="12.75">
      <c r="O198" s="84">
        <v>59.597989949748744</v>
      </c>
      <c r="P198" s="84">
        <v>2.0028860068606695</v>
      </c>
    </row>
    <row r="199" spans="15:16" ht="12.75">
      <c r="O199" s="84">
        <v>59.698492462311556</v>
      </c>
      <c r="P199" s="84">
        <v>1.980439730198299</v>
      </c>
    </row>
    <row r="200" spans="15:16" ht="12.75">
      <c r="O200" s="84">
        <v>59.798994974874375</v>
      </c>
      <c r="P200" s="84">
        <v>1.9579934535359265</v>
      </c>
    </row>
    <row r="201" spans="15:16" ht="12.75">
      <c r="O201" s="84">
        <v>59.89949748743719</v>
      </c>
      <c r="P201" s="84">
        <v>1.9355471768735555</v>
      </c>
    </row>
    <row r="202" spans="15:16" ht="12.75">
      <c r="O202" s="84">
        <v>60</v>
      </c>
      <c r="P202" s="84">
        <v>1.9131009002111838</v>
      </c>
    </row>
    <row r="203" spans="15:16" ht="12.75">
      <c r="O203" s="84"/>
      <c r="P203" s="84"/>
    </row>
  </sheetData>
  <sheetProtection/>
  <printOptions/>
  <pageMargins left="0.75" right="0.75" top="1" bottom="1" header="0.5" footer="0.5"/>
  <pageSetup fitToHeight="1" fitToWidth="1" horizontalDpi="600" verticalDpi="6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45"/>
  <sheetViews>
    <sheetView showGridLines="0" zoomScalePageLayoutView="0" workbookViewId="0" topLeftCell="A1">
      <selection activeCell="N29" sqref="N29"/>
    </sheetView>
  </sheetViews>
  <sheetFormatPr defaultColWidth="8.8515625" defaultRowHeight="12.75" customHeight="1"/>
  <cols>
    <col min="1" max="1" width="8.8515625" style="0" customWidth="1"/>
    <col min="2" max="2" width="2.7109375" style="0" customWidth="1"/>
    <col min="3" max="3" width="8.8515625" style="0" customWidth="1"/>
    <col min="4" max="4" width="2.7109375" style="0" customWidth="1"/>
    <col min="5" max="5" width="8.8515625" style="0" customWidth="1"/>
    <col min="6" max="6" width="2.7109375" style="0" customWidth="1"/>
    <col min="7" max="7" width="8.8515625" style="0" customWidth="1"/>
    <col min="8" max="8" width="2.7109375" style="0" customWidth="1"/>
    <col min="9" max="9" width="8.8515625" style="0" customWidth="1"/>
    <col min="10" max="10" width="2.7109375" style="0" customWidth="1"/>
    <col min="11" max="11" width="8.8515625" style="0" customWidth="1"/>
    <col min="12" max="12" width="2.7109375" style="0" customWidth="1"/>
    <col min="13" max="13" width="8.8515625" style="0" customWidth="1"/>
    <col min="14" max="14" width="2.7109375" style="0" customWidth="1"/>
    <col min="15" max="15" width="8.8515625" style="0" customWidth="1"/>
    <col min="16" max="16" width="2.7109375" style="0" customWidth="1"/>
    <col min="17" max="17" width="8.8515625" style="0" customWidth="1"/>
    <col min="18" max="18" width="2.7109375" style="0" customWidth="1"/>
    <col min="19" max="19" width="8.8515625" style="0" customWidth="1"/>
    <col min="20" max="20" width="2.7109375" style="0" customWidth="1"/>
  </cols>
  <sheetData>
    <row r="1" ht="12.75" customHeight="1">
      <c r="A1" t="s">
        <v>190</v>
      </c>
    </row>
    <row r="2" spans="1:21" ht="12.75" customHeight="1">
      <c r="A2" t="s">
        <v>202</v>
      </c>
      <c r="U2" s="97">
        <v>105.95884518619484</v>
      </c>
    </row>
    <row r="3" spans="1:21" ht="12.75" customHeight="1">
      <c r="A3" t="s">
        <v>203</v>
      </c>
      <c r="U3" s="97">
        <v>0</v>
      </c>
    </row>
    <row r="4" spans="1:19" ht="12.75" customHeight="1">
      <c r="A4" t="s">
        <v>194</v>
      </c>
      <c r="S4" s="97">
        <v>97.90462830461257</v>
      </c>
    </row>
    <row r="5" ht="12.75" customHeight="1">
      <c r="S5" s="97">
        <v>0</v>
      </c>
    </row>
    <row r="6" spans="1:21" ht="12.75" customHeight="1">
      <c r="A6" t="s">
        <v>226</v>
      </c>
      <c r="Q6" s="97">
        <v>90.46263411629931</v>
      </c>
      <c r="U6" s="97">
        <v>90.46263411629931</v>
      </c>
    </row>
    <row r="7" spans="1:21" ht="12.75" customHeight="1">
      <c r="A7" t="s">
        <v>227</v>
      </c>
      <c r="Q7" s="97">
        <v>0</v>
      </c>
      <c r="U7" s="97">
        <v>0</v>
      </c>
    </row>
    <row r="8" spans="1:19" ht="12.75" customHeight="1">
      <c r="A8" t="s">
        <v>217</v>
      </c>
      <c r="O8" s="97">
        <v>84.58382904968656</v>
      </c>
      <c r="S8" s="97">
        <v>83.5863259272891</v>
      </c>
    </row>
    <row r="9" spans="1:19" ht="12.75" customHeight="1">
      <c r="A9" t="s">
        <v>228</v>
      </c>
      <c r="O9" s="97">
        <v>0</v>
      </c>
      <c r="S9" s="97">
        <v>0</v>
      </c>
    </row>
    <row r="10" spans="1:21" ht="12.75" customHeight="1">
      <c r="A10" t="s">
        <v>229</v>
      </c>
      <c r="M10" s="97">
        <v>78.2252324777402</v>
      </c>
      <c r="Q10" s="97">
        <v>77.23270442292107</v>
      </c>
      <c r="U10" s="97">
        <v>77.23270442292107</v>
      </c>
    </row>
    <row r="11" spans="1:21" ht="12.75" customHeight="1">
      <c r="A11" t="s">
        <v>230</v>
      </c>
      <c r="M11" s="97">
        <v>0</v>
      </c>
      <c r="Q11" s="97">
        <v>0</v>
      </c>
      <c r="U11" s="97">
        <v>0</v>
      </c>
    </row>
    <row r="12" spans="1:19" ht="12.75" customHeight="1">
      <c r="A12" t="s">
        <v>231</v>
      </c>
      <c r="K12" s="97">
        <v>72.34961658261587</v>
      </c>
      <c r="O12" s="97">
        <v>72.35954190451945</v>
      </c>
      <c r="S12" s="97">
        <v>71.36203878212199</v>
      </c>
    </row>
    <row r="13" spans="11:19" ht="12.75" customHeight="1">
      <c r="K13" s="97">
        <v>0.05237048970202125</v>
      </c>
      <c r="O13" s="97">
        <v>0</v>
      </c>
      <c r="S13" s="97">
        <v>0</v>
      </c>
    </row>
    <row r="14" spans="9:21" ht="12.75" customHeight="1">
      <c r="I14" s="97">
        <v>67.91528294527312</v>
      </c>
      <c r="M14" s="97">
        <v>66.9301462852345</v>
      </c>
      <c r="Q14" s="97">
        <v>65.93761823041537</v>
      </c>
      <c r="U14" s="97">
        <v>65.93761823041537</v>
      </c>
    </row>
    <row r="15" spans="9:21" ht="12.75" customHeight="1">
      <c r="I15" s="97">
        <v>0.27770784721058556</v>
      </c>
      <c r="M15" s="97">
        <v>0.10783572511481962</v>
      </c>
      <c r="Q15" s="97">
        <v>0</v>
      </c>
      <c r="U15" s="97">
        <v>0</v>
      </c>
    </row>
    <row r="16" spans="7:19" ht="12.75" customHeight="1">
      <c r="G16" s="97">
        <v>62.89332354899749</v>
      </c>
      <c r="K16" s="97">
        <v>61.913100278548875</v>
      </c>
      <c r="O16" s="97">
        <v>61.923025600452455</v>
      </c>
      <c r="S16" s="97">
        <v>60.925522478054994</v>
      </c>
    </row>
    <row r="17" spans="7:19" ht="12.75" customHeight="1">
      <c r="G17" s="97">
        <v>0.8002152362093993</v>
      </c>
      <c r="K17" s="97">
        <v>0.5168989685143633</v>
      </c>
      <c r="O17" s="97">
        <v>0.2220438204264134</v>
      </c>
      <c r="S17" s="97">
        <v>0</v>
      </c>
    </row>
    <row r="18" spans="5:21" ht="12.75" customHeight="1">
      <c r="E18" s="97">
        <v>58.25239622992984</v>
      </c>
      <c r="I18" s="97">
        <v>58.27207432263108</v>
      </c>
      <c r="M18" s="97">
        <v>57.286937662592464</v>
      </c>
      <c r="Q18" s="97">
        <v>56.294409607773325</v>
      </c>
      <c r="U18" s="97">
        <v>56.294409607773325</v>
      </c>
    </row>
    <row r="19" spans="5:21" ht="12.75" customHeight="1">
      <c r="E19" s="97">
        <v>1.693107355579146</v>
      </c>
      <c r="I19" s="97">
        <v>1.3564513135238794</v>
      </c>
      <c r="M19" s="97">
        <v>0.9512425621397533</v>
      </c>
      <c r="Q19" s="97">
        <v>0.45720894570941834</v>
      </c>
      <c r="U19" s="97">
        <v>0</v>
      </c>
    </row>
    <row r="20" spans="3:19" ht="12.75" customHeight="1">
      <c r="C20" s="97">
        <v>53.96354120889092</v>
      </c>
      <c r="G20" s="97">
        <v>53.98312115669536</v>
      </c>
      <c r="K20" s="97">
        <v>53.00289788624674</v>
      </c>
      <c r="O20" s="97">
        <v>53.01282320815032</v>
      </c>
      <c r="S20" s="97">
        <v>52.01532008575286</v>
      </c>
    </row>
    <row r="21" spans="3:19" ht="12.75" customHeight="1">
      <c r="C21" s="97">
        <v>2.9628765473969234</v>
      </c>
      <c r="G21" s="97">
        <v>2.64698145495563</v>
      </c>
      <c r="K21" s="97">
        <v>2.2509240214720547</v>
      </c>
      <c r="O21" s="97">
        <v>1.7258124120605352</v>
      </c>
      <c r="S21" s="97">
        <v>0.9414358824995758</v>
      </c>
    </row>
    <row r="22" spans="1:21" ht="12.75" customHeight="1">
      <c r="A22" s="97">
        <v>50</v>
      </c>
      <c r="E22" s="97">
        <v>50.01948229240736</v>
      </c>
      <c r="I22" s="97">
        <v>50.039160385108595</v>
      </c>
      <c r="M22" s="97">
        <v>49.05402372506998</v>
      </c>
      <c r="Q22" s="97">
        <v>48.06149567025084</v>
      </c>
      <c r="U22" s="97">
        <v>48.06149567025084</v>
      </c>
    </row>
    <row r="23" spans="1:21" ht="12.75" customHeight="1">
      <c r="A23" s="97">
        <v>4.561934636303931</v>
      </c>
      <c r="E23" s="97">
        <v>4.325068431177874</v>
      </c>
      <c r="I23" s="97">
        <v>4.027703741262564</v>
      </c>
      <c r="M23" s="97">
        <v>3.637177006388941</v>
      </c>
      <c r="Q23" s="97">
        <v>3.0740772904682823</v>
      </c>
      <c r="U23" s="99">
        <v>1.9385043297491578</v>
      </c>
    </row>
    <row r="24" spans="3:19" ht="12.75" customHeight="1">
      <c r="C24" s="97">
        <v>46.3564332086046</v>
      </c>
      <c r="G24" s="97">
        <v>46.376013156409044</v>
      </c>
      <c r="K24" s="97">
        <v>45.39578988596042</v>
      </c>
      <c r="O24" s="97">
        <v>45.405715207864</v>
      </c>
      <c r="S24" s="97">
        <v>44.40821208546654</v>
      </c>
    </row>
    <row r="25" spans="3:19" ht="12.75" customHeight="1">
      <c r="C25" s="97">
        <v>6.285914427346668</v>
      </c>
      <c r="G25" s="97">
        <v>6.129503018088753</v>
      </c>
      <c r="K25" s="97">
        <v>5.932595733831531</v>
      </c>
      <c r="O25" s="97">
        <v>5.679214163695454</v>
      </c>
      <c r="S25" s="97">
        <v>5.342411874167586</v>
      </c>
    </row>
    <row r="26" spans="5:21" ht="12.75" customHeight="1">
      <c r="E26" s="97">
        <v>42.99061103647457</v>
      </c>
      <c r="I26" s="97">
        <v>43.01028912917581</v>
      </c>
      <c r="M26" s="97">
        <v>42.02515246913719</v>
      </c>
      <c r="Q26" s="97">
        <v>41.03262441431805</v>
      </c>
      <c r="U26" s="97">
        <v>41.03262441431805</v>
      </c>
    </row>
    <row r="27" spans="5:21" ht="12.75" customHeight="1">
      <c r="E27" s="97">
        <v>8.407050769843616</v>
      </c>
      <c r="I27" s="97">
        <v>8.396868170305302</v>
      </c>
      <c r="M27" s="97">
        <v>8.40101133131988</v>
      </c>
      <c r="Q27" s="97">
        <v>8.469867273140357</v>
      </c>
      <c r="U27" s="99">
        <v>8.96737558568195</v>
      </c>
    </row>
    <row r="28" spans="7:19" ht="12.75" customHeight="1">
      <c r="G28" s="97">
        <v>39.88142531427263</v>
      </c>
      <c r="K28" s="97">
        <v>38.901202043824014</v>
      </c>
      <c r="O28" s="97">
        <v>38.91112736572759</v>
      </c>
      <c r="S28" s="97">
        <v>37.91362424333013</v>
      </c>
    </row>
    <row r="29" spans="7:19" ht="12.75" customHeight="1">
      <c r="G29" s="97">
        <v>10.882134953243803</v>
      </c>
      <c r="K29" s="97">
        <v>11.06768902589303</v>
      </c>
      <c r="O29" s="97">
        <v>11.341972736823017</v>
      </c>
      <c r="S29" s="97">
        <v>11.836999716303993</v>
      </c>
    </row>
    <row r="30" spans="9:21" ht="12.75" customHeight="1">
      <c r="I30" s="97">
        <v>37.009372381181045</v>
      </c>
      <c r="M30" s="97">
        <v>36.02423572114243</v>
      </c>
      <c r="Q30" s="97">
        <v>35.03170766632329</v>
      </c>
      <c r="U30" s="97">
        <v>35.03170766632329</v>
      </c>
    </row>
    <row r="31" spans="9:21" ht="12.75" customHeight="1">
      <c r="I31" s="97">
        <v>13.600498293734981</v>
      </c>
      <c r="M31" s="97">
        <v>13.978225999014489</v>
      </c>
      <c r="Q31" s="97">
        <v>14.47078402113512</v>
      </c>
      <c r="U31" s="99">
        <v>14.968292333676708</v>
      </c>
    </row>
    <row r="32" spans="11:19" ht="12.75" customHeight="1">
      <c r="K32" s="97">
        <v>33.35643112199163</v>
      </c>
      <c r="O32" s="97">
        <v>33.366356443895214</v>
      </c>
      <c r="S32" s="97">
        <v>32.36885332149775</v>
      </c>
    </row>
    <row r="33" spans="11:19" ht="12.75" customHeight="1">
      <c r="K33" s="97">
        <v>16.3966422799189</v>
      </c>
      <c r="O33" s="97">
        <v>16.886743658655394</v>
      </c>
      <c r="S33" s="97">
        <v>17.38177063813637</v>
      </c>
    </row>
    <row r="34" spans="13:21" ht="12.75" customHeight="1">
      <c r="M34" s="97">
        <v>30.900937754065765</v>
      </c>
      <c r="Q34" s="97">
        <v>29.908409699246626</v>
      </c>
      <c r="U34" s="97">
        <v>29.908409699246626</v>
      </c>
    </row>
    <row r="35" spans="13:21" ht="12.75" customHeight="1">
      <c r="M35" s="97">
        <v>19.10152396609115</v>
      </c>
      <c r="Q35" s="97">
        <v>19.59408198821178</v>
      </c>
      <c r="U35" s="99">
        <v>20.091590300753374</v>
      </c>
    </row>
    <row r="36" spans="15:19" ht="12.75" customHeight="1">
      <c r="O36" s="97">
        <v>28.632494138402944</v>
      </c>
      <c r="S36" s="97">
        <v>27.634991016005486</v>
      </c>
    </row>
    <row r="37" spans="15:19" ht="12.75" customHeight="1">
      <c r="O37" s="97">
        <v>21.620605964147654</v>
      </c>
      <c r="S37" s="97">
        <v>22.11563294362863</v>
      </c>
    </row>
    <row r="38" spans="17:21" ht="12.75" customHeight="1">
      <c r="Q38" s="97">
        <v>25.5343810030107</v>
      </c>
      <c r="U38" s="97">
        <v>25.5343810030107</v>
      </c>
    </row>
    <row r="39" spans="17:21" ht="12.75" customHeight="1">
      <c r="Q39" s="97">
        <v>23.96811068444771</v>
      </c>
      <c r="U39" s="99">
        <v>24.4656189969893</v>
      </c>
    </row>
    <row r="40" ht="12.75" customHeight="1">
      <c r="S40" s="97">
        <v>23.593444008333098</v>
      </c>
    </row>
    <row r="41" ht="12.75" customHeight="1">
      <c r="S41" s="97">
        <v>26.157179951301018</v>
      </c>
    </row>
    <row r="42" ht="12.75" customHeight="1">
      <c r="U42" s="97">
        <v>21.80004285628524</v>
      </c>
    </row>
    <row r="43" ht="12.75" customHeight="1">
      <c r="U43" s="99">
        <v>28.19995714371476</v>
      </c>
    </row>
    <row r="44" ht="12.75" customHeight="1">
      <c r="A44" t="s">
        <v>198</v>
      </c>
    </row>
    <row r="45" spans="1:21" ht="12.75" customHeight="1">
      <c r="A45" s="96">
        <v>0</v>
      </c>
      <c r="C45" s="96">
        <v>0.1</v>
      </c>
      <c r="E45" s="96">
        <v>0.2</v>
      </c>
      <c r="G45" s="96">
        <v>0.30000000000000004</v>
      </c>
      <c r="I45" s="96">
        <v>0.4</v>
      </c>
      <c r="K45" s="96">
        <v>0.5</v>
      </c>
      <c r="M45" s="96">
        <v>0.6000000000000001</v>
      </c>
      <c r="O45" s="96">
        <v>0.7000000000000001</v>
      </c>
      <c r="Q45" s="96">
        <v>0.8</v>
      </c>
      <c r="S45" s="96">
        <v>0.9</v>
      </c>
      <c r="U45" s="96">
        <v>1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8"/>
  <sheetViews>
    <sheetView showGridLines="0" zoomScalePageLayoutView="0" workbookViewId="0" topLeftCell="A1">
      <selection activeCell="Y42" sqref="Y42"/>
    </sheetView>
  </sheetViews>
  <sheetFormatPr defaultColWidth="9.140625" defaultRowHeight="12.75"/>
  <cols>
    <col min="1" max="1" width="8.8515625" style="0" customWidth="1"/>
    <col min="2" max="2" width="5.7109375" style="0" customWidth="1"/>
    <col min="3" max="3" width="8.8515625" style="0" customWidth="1"/>
    <col min="4" max="4" width="5.7109375" style="0" customWidth="1"/>
    <col min="5" max="5" width="8.8515625" style="0" customWidth="1"/>
    <col min="6" max="6" width="5.7109375" style="0" customWidth="1"/>
    <col min="7" max="7" width="8.8515625" style="0" customWidth="1"/>
    <col min="8" max="8" width="5.7109375" style="0" customWidth="1"/>
    <col min="9" max="10" width="10.7109375" style="0" customWidth="1"/>
    <col min="11" max="11" width="8.8515625" style="0" customWidth="1"/>
    <col min="12" max="12" width="5.7109375" style="0" customWidth="1"/>
    <col min="13" max="13" width="8.8515625" style="0" customWidth="1"/>
    <col min="14" max="14" width="5.7109375" style="0" customWidth="1"/>
    <col min="15" max="15" width="8.8515625" style="0" customWidth="1"/>
    <col min="16" max="16" width="5.7109375" style="0" customWidth="1"/>
    <col min="17" max="17" width="8.8515625" style="0" customWidth="1"/>
    <col min="18" max="18" width="5.7109375" style="0" customWidth="1"/>
    <col min="19" max="19" width="8.8515625" style="0" customWidth="1"/>
    <col min="20" max="20" width="5.7109375" style="0" customWidth="1"/>
    <col min="21" max="22" width="10.7109375" style="0" customWidth="1"/>
  </cols>
  <sheetData>
    <row r="1" ht="12.75">
      <c r="A1" t="s">
        <v>190</v>
      </c>
    </row>
    <row r="2" ht="12.75">
      <c r="A2" t="s">
        <v>191</v>
      </c>
    </row>
    <row r="3" ht="12.75">
      <c r="A3" t="s">
        <v>192</v>
      </c>
    </row>
    <row r="4" ht="12.75">
      <c r="A4" t="s">
        <v>193</v>
      </c>
    </row>
    <row r="5" ht="12.75">
      <c r="A5" t="s">
        <v>194</v>
      </c>
    </row>
    <row r="7" ht="12.75">
      <c r="A7" t="s">
        <v>232</v>
      </c>
    </row>
    <row r="8" ht="12.75">
      <c r="A8" t="s">
        <v>233</v>
      </c>
    </row>
    <row r="10" ht="12.75">
      <c r="I10" s="97">
        <v>71.13164558431284</v>
      </c>
    </row>
    <row r="11" ht="12.75">
      <c r="I11" s="97">
        <v>0</v>
      </c>
    </row>
    <row r="12" ht="12.75">
      <c r="I12" s="98">
        <v>0.11374374855546003</v>
      </c>
    </row>
    <row r="14" spans="7:11" ht="12.75">
      <c r="G14" s="97">
        <v>79.19393333639307</v>
      </c>
      <c r="I14" s="97">
        <v>79.1364335936908</v>
      </c>
      <c r="J14" s="91" t="s">
        <v>195</v>
      </c>
      <c r="K14" s="92">
        <v>0.14012369791666673</v>
      </c>
    </row>
    <row r="15" spans="7:11" ht="12.75">
      <c r="G15" s="97">
        <v>0</v>
      </c>
      <c r="I15" s="97">
        <v>0</v>
      </c>
      <c r="J15" s="91" t="s">
        <v>196</v>
      </c>
      <c r="K15" s="92">
        <v>0.6635026041666666</v>
      </c>
    </row>
    <row r="16" spans="7:11" ht="12.75">
      <c r="G16" s="98">
        <v>0.0925715371770319</v>
      </c>
      <c r="I16" s="98">
        <v>0.09200252885362484</v>
      </c>
      <c r="J16" s="91" t="s">
        <v>197</v>
      </c>
      <c r="K16" s="92">
        <v>0.19637369791666665</v>
      </c>
    </row>
    <row r="18" spans="5:11" ht="12.75">
      <c r="E18" s="97">
        <v>87.06919518467397</v>
      </c>
      <c r="G18" s="97">
        <v>86.85737348381139</v>
      </c>
      <c r="I18" s="97">
        <v>86.65576528848688</v>
      </c>
      <c r="J18" s="91" t="s">
        <v>195</v>
      </c>
      <c r="K18" s="92">
        <v>0.14861979166666667</v>
      </c>
    </row>
    <row r="19" spans="5:11" ht="12.75">
      <c r="E19" s="97">
        <v>0</v>
      </c>
      <c r="G19" s="97">
        <v>0</v>
      </c>
      <c r="I19" s="97">
        <v>0</v>
      </c>
      <c r="J19" s="91" t="s">
        <v>196</v>
      </c>
      <c r="K19" s="92">
        <v>0.6652604166666667</v>
      </c>
    </row>
    <row r="20" spans="5:11" ht="12.75">
      <c r="E20" s="98">
        <v>0.07534847743539091</v>
      </c>
      <c r="G20" s="98">
        <v>0.07487721855765628</v>
      </c>
      <c r="I20" s="98">
        <v>0.07441697168380998</v>
      </c>
      <c r="J20" s="91" t="s">
        <v>197</v>
      </c>
      <c r="K20" s="92">
        <v>0.1861197916666667</v>
      </c>
    </row>
    <row r="22" spans="3:11" ht="12.75">
      <c r="C22" s="97">
        <v>94.69002722222143</v>
      </c>
      <c r="E22" s="97">
        <v>94.32588324624986</v>
      </c>
      <c r="G22" s="97">
        <v>93.96241671947519</v>
      </c>
      <c r="I22" s="97">
        <v>93.60052527765873</v>
      </c>
      <c r="J22" s="91" t="s">
        <v>195</v>
      </c>
      <c r="K22" s="92">
        <v>0.15746744791666667</v>
      </c>
    </row>
    <row r="23" spans="3:11" ht="12.75">
      <c r="C23" s="97">
        <v>0.058227196519099515</v>
      </c>
      <c r="E23" s="97">
        <v>0.017063445077149082</v>
      </c>
      <c r="G23" s="97">
        <v>0</v>
      </c>
      <c r="I23" s="97">
        <v>0</v>
      </c>
      <c r="J23" s="91" t="s">
        <v>196</v>
      </c>
      <c r="K23" s="92">
        <v>0.6663151041666666</v>
      </c>
    </row>
    <row r="24" spans="3:11" ht="12.75">
      <c r="C24" s="98">
        <v>0.061362366703203865</v>
      </c>
      <c r="E24" s="98">
        <v>0.06094621073567111</v>
      </c>
      <c r="G24" s="98">
        <v>0.0605650292725407</v>
      </c>
      <c r="I24" s="98">
        <v>0.060192754955678454</v>
      </c>
      <c r="J24" s="91" t="s">
        <v>197</v>
      </c>
      <c r="K24" s="92">
        <v>0.1762174479166667</v>
      </c>
    </row>
    <row r="26" spans="1:11" ht="12.75">
      <c r="A26" s="97">
        <v>99.51021262277145</v>
      </c>
      <c r="C26" s="97">
        <v>101.4978984484239</v>
      </c>
      <c r="E26" s="97">
        <v>100.97868622609565</v>
      </c>
      <c r="G26" s="97">
        <v>100.45318749621481</v>
      </c>
      <c r="I26" s="97">
        <v>99.92196281185778</v>
      </c>
      <c r="J26" s="91" t="s">
        <v>195</v>
      </c>
      <c r="K26" s="92">
        <v>0.16666666666666669</v>
      </c>
    </row>
    <row r="27" spans="1:11" ht="12.75">
      <c r="A27" s="97">
        <v>0.67193326025684</v>
      </c>
      <c r="C27" s="97">
        <v>0.47165448597162707</v>
      </c>
      <c r="E27" s="97">
        <v>0.27359923763708094</v>
      </c>
      <c r="G27" s="97">
        <v>0.09907031361728916</v>
      </c>
      <c r="I27" s="97">
        <v>0</v>
      </c>
      <c r="J27" s="91" t="s">
        <v>196</v>
      </c>
      <c r="K27" s="92">
        <v>0.6666666666666666</v>
      </c>
    </row>
    <row r="28" spans="1:11" ht="12.75">
      <c r="A28" s="98">
        <v>0.05000000000000001</v>
      </c>
      <c r="C28" s="98">
        <v>0.04963343467079028</v>
      </c>
      <c r="E28" s="98">
        <v>0.049296823631530644</v>
      </c>
      <c r="G28" s="98">
        <v>0.048988501996227556</v>
      </c>
      <c r="I28" s="98">
        <v>0.048687384976491895</v>
      </c>
      <c r="J28" s="91" t="s">
        <v>197</v>
      </c>
      <c r="K28" s="92">
        <v>0.16666666666666669</v>
      </c>
    </row>
    <row r="30" spans="3:11" ht="12.75">
      <c r="C30" s="97">
        <v>107.68014354150618</v>
      </c>
      <c r="E30" s="97">
        <v>107.00042074873053</v>
      </c>
      <c r="G30" s="97">
        <v>106.30874019180558</v>
      </c>
      <c r="I30" s="97">
        <v>105.60544274122432</v>
      </c>
      <c r="J30" s="91" t="s">
        <v>195</v>
      </c>
      <c r="K30" s="92">
        <v>0.1762174479166667</v>
      </c>
    </row>
    <row r="31" spans="3:11" ht="12.75">
      <c r="C31" s="97">
        <v>2.163060042612518</v>
      </c>
      <c r="E31" s="97">
        <v>1.7716318787796512</v>
      </c>
      <c r="G31" s="97">
        <v>1.2759434503015918</v>
      </c>
      <c r="I31" s="99">
        <v>0.6054427412243228</v>
      </c>
      <c r="J31" s="91" t="s">
        <v>196</v>
      </c>
      <c r="K31" s="92">
        <v>0.6663151041666666</v>
      </c>
    </row>
    <row r="32" spans="3:11" ht="12.75">
      <c r="C32" s="98">
        <v>0.04014639541422679</v>
      </c>
      <c r="E32" s="98">
        <v>0.03987412491808754</v>
      </c>
      <c r="G32" s="98">
        <v>0.03962473652964053</v>
      </c>
      <c r="I32" s="98">
        <v>0.039381175651364744</v>
      </c>
      <c r="J32" s="91" t="s">
        <v>197</v>
      </c>
      <c r="K32" s="92">
        <v>0.15746744791666667</v>
      </c>
    </row>
    <row r="34" spans="5:11" ht="12.75">
      <c r="E34" s="97">
        <v>112.3921775012794</v>
      </c>
      <c r="G34" s="97">
        <v>111.53532291979893</v>
      </c>
      <c r="I34" s="97">
        <v>110.66230658017636</v>
      </c>
      <c r="J34" s="91" t="s">
        <v>195</v>
      </c>
      <c r="K34" s="92">
        <v>0.1861197916666667</v>
      </c>
    </row>
    <row r="35" spans="5:11" ht="12.75">
      <c r="E35" s="99">
        <v>6.142177501279406</v>
      </c>
      <c r="G35" s="99">
        <v>5.910322919798929</v>
      </c>
      <c r="I35" s="99">
        <v>5.662306580176363</v>
      </c>
      <c r="J35" s="91" t="s">
        <v>196</v>
      </c>
      <c r="K35" s="92">
        <v>0.6652604166666667</v>
      </c>
    </row>
    <row r="36" spans="5:11" ht="12.75">
      <c r="E36" s="98">
        <v>0.032252500685790796</v>
      </c>
      <c r="G36" s="98">
        <v>0.032050780919251995</v>
      </c>
      <c r="I36" s="98">
        <v>0.03185377478031456</v>
      </c>
      <c r="J36" s="91" t="s">
        <v>197</v>
      </c>
      <c r="K36" s="92">
        <v>0.14861979166666667</v>
      </c>
    </row>
    <row r="38" spans="7:11" ht="12.75">
      <c r="G38" s="97">
        <v>116.15871656794057</v>
      </c>
      <c r="I38" s="97">
        <v>115.12224441671356</v>
      </c>
      <c r="J38" s="91" t="s">
        <v>195</v>
      </c>
      <c r="K38" s="92">
        <v>0.19637369791666665</v>
      </c>
    </row>
    <row r="39" spans="7:11" ht="12.75">
      <c r="G39" s="99">
        <v>10.533716567940573</v>
      </c>
      <c r="I39" s="99">
        <v>10.122244416713556</v>
      </c>
      <c r="J39" s="91" t="s">
        <v>196</v>
      </c>
      <c r="K39" s="92">
        <v>0.6635026041666666</v>
      </c>
    </row>
    <row r="40" spans="7:11" ht="12.75">
      <c r="G40" s="98">
        <v>0.025924527138886364</v>
      </c>
      <c r="I40" s="98">
        <v>0.02576517716834187</v>
      </c>
      <c r="J40" s="91" t="s">
        <v>197</v>
      </c>
      <c r="K40" s="92">
        <v>0.14012369791666673</v>
      </c>
    </row>
    <row r="42" ht="12.75">
      <c r="I42" s="97">
        <v>119.02632033629928</v>
      </c>
    </row>
    <row r="43" ht="12.75">
      <c r="I43" s="99">
        <v>14.026320336299278</v>
      </c>
    </row>
    <row r="44" ht="12.75">
      <c r="I44" s="98">
        <v>0.020840366929645558</v>
      </c>
    </row>
    <row r="45" ht="12.75">
      <c r="A45" t="s">
        <v>198</v>
      </c>
    </row>
    <row r="46" spans="1:9" ht="12.75">
      <c r="A46" s="70">
        <v>0</v>
      </c>
      <c r="C46" s="70">
        <v>0.375</v>
      </c>
      <c r="E46" s="70">
        <v>0.75</v>
      </c>
      <c r="G46" s="70">
        <v>1.125</v>
      </c>
      <c r="I46" s="70">
        <v>1.5</v>
      </c>
    </row>
    <row r="47" ht="12.75">
      <c r="A47" t="s">
        <v>199</v>
      </c>
    </row>
    <row r="48" spans="1:9" ht="12.75">
      <c r="A48" s="70">
        <v>0</v>
      </c>
      <c r="C48" s="70">
        <v>1.875</v>
      </c>
      <c r="E48" s="70">
        <v>1.25</v>
      </c>
      <c r="G48" s="70">
        <v>0.625</v>
      </c>
      <c r="I48" s="70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108" zoomScaleNormal="108" zoomScalePageLayoutView="0" workbookViewId="0" topLeftCell="A1">
      <selection activeCell="I13" sqref="I13"/>
    </sheetView>
  </sheetViews>
  <sheetFormatPr defaultColWidth="9.140625" defaultRowHeight="12.75"/>
  <cols>
    <col min="1" max="1" width="2.7109375" style="35" customWidth="1"/>
    <col min="2" max="2" width="9.140625" style="35" customWidth="1"/>
    <col min="3" max="3" width="11.00390625" style="35" bestFit="1" customWidth="1"/>
    <col min="4" max="4" width="2.7109375" style="35" customWidth="1"/>
    <col min="5" max="5" width="10.00390625" style="35" customWidth="1"/>
    <col min="6" max="6" width="11.28125" style="35" bestFit="1" customWidth="1"/>
    <col min="7" max="7" width="2.7109375" style="35" customWidth="1"/>
    <col min="8" max="9" width="9.140625" style="35" customWidth="1"/>
    <col min="10" max="10" width="2.7109375" style="35" customWidth="1"/>
    <col min="11" max="12" width="9.140625" style="35" customWidth="1"/>
    <col min="13" max="13" width="21.7109375" style="35" bestFit="1" customWidth="1"/>
    <col min="14" max="16384" width="9.140625" style="35" customWidth="1"/>
  </cols>
  <sheetData>
    <row r="1" spans="1:15" ht="12.75">
      <c r="A1" s="31"/>
      <c r="B1" s="193" t="s">
        <v>110</v>
      </c>
      <c r="C1" s="193"/>
      <c r="D1" s="32"/>
      <c r="E1" s="193" t="s">
        <v>113</v>
      </c>
      <c r="F1" s="193"/>
      <c r="G1" s="32"/>
      <c r="H1" s="193" t="s">
        <v>14</v>
      </c>
      <c r="I1" s="193"/>
      <c r="J1" s="33"/>
      <c r="K1" s="34"/>
      <c r="L1" s="34"/>
      <c r="M1" s="34"/>
      <c r="N1" s="34"/>
      <c r="O1" s="34"/>
    </row>
    <row r="2" spans="1:15" ht="12.75">
      <c r="A2" s="36"/>
      <c r="B2" s="37" t="s">
        <v>114</v>
      </c>
      <c r="C2" s="37" t="s">
        <v>115</v>
      </c>
      <c r="D2" s="37"/>
      <c r="E2" s="38" t="s">
        <v>15</v>
      </c>
      <c r="F2" s="37" t="s">
        <v>116</v>
      </c>
      <c r="G2" s="37"/>
      <c r="H2" s="38" t="s">
        <v>15</v>
      </c>
      <c r="I2" s="37" t="s">
        <v>16</v>
      </c>
      <c r="J2" s="39"/>
      <c r="K2" s="34"/>
      <c r="L2" s="34"/>
      <c r="M2" s="34"/>
      <c r="N2" s="34"/>
      <c r="O2" s="34"/>
    </row>
    <row r="3" spans="1:15" ht="12.75">
      <c r="A3" s="36"/>
      <c r="B3" s="40">
        <v>1</v>
      </c>
      <c r="C3" s="55">
        <v>123.00257615399208</v>
      </c>
      <c r="D3" s="37"/>
      <c r="E3" s="40">
        <v>1</v>
      </c>
      <c r="F3" s="100">
        <v>0.02</v>
      </c>
      <c r="G3" s="42"/>
      <c r="H3" s="40">
        <v>2</v>
      </c>
      <c r="I3" s="43">
        <v>0.05</v>
      </c>
      <c r="J3" s="39"/>
      <c r="K3" s="34"/>
      <c r="L3" s="34"/>
      <c r="M3"/>
      <c r="N3"/>
      <c r="O3" s="34"/>
    </row>
    <row r="4" spans="1:15" ht="12.75">
      <c r="A4" s="36"/>
      <c r="B4" s="40">
        <v>2</v>
      </c>
      <c r="C4" s="55">
        <v>123.00257615399188</v>
      </c>
      <c r="D4" s="37"/>
      <c r="E4" s="40"/>
      <c r="F4" s="100"/>
      <c r="G4" s="42"/>
      <c r="H4" s="40"/>
      <c r="I4" s="43"/>
      <c r="J4" s="39"/>
      <c r="K4" s="34"/>
      <c r="L4" s="34"/>
      <c r="M4"/>
      <c r="N4"/>
      <c r="O4" s="34"/>
    </row>
    <row r="5" spans="1:15" ht="12.75">
      <c r="A5" s="36"/>
      <c r="B5" s="40">
        <v>3</v>
      </c>
      <c r="C5" s="55">
        <v>123.00257615399175</v>
      </c>
      <c r="D5" s="37"/>
      <c r="E5" s="40"/>
      <c r="F5" s="100"/>
      <c r="G5" s="42"/>
      <c r="H5" s="40"/>
      <c r="I5" s="43"/>
      <c r="J5" s="39"/>
      <c r="K5" s="34"/>
      <c r="L5" s="34"/>
      <c r="M5"/>
      <c r="N5"/>
      <c r="O5" s="34"/>
    </row>
    <row r="6" spans="1:15" ht="12.75">
      <c r="A6" s="36"/>
      <c r="B6" s="40">
        <v>4</v>
      </c>
      <c r="C6" s="55">
        <v>123.00257615399182</v>
      </c>
      <c r="D6" s="37"/>
      <c r="E6" s="40"/>
      <c r="F6" s="100"/>
      <c r="G6" s="42"/>
      <c r="H6" s="40"/>
      <c r="I6" s="43"/>
      <c r="J6" s="39"/>
      <c r="K6" s="34"/>
      <c r="L6" s="34"/>
      <c r="M6"/>
      <c r="N6"/>
      <c r="O6" s="34"/>
    </row>
    <row r="7" spans="1:15" ht="12.75">
      <c r="A7" s="36"/>
      <c r="B7" s="40">
        <v>5</v>
      </c>
      <c r="C7" s="55">
        <v>123.00257615399185</v>
      </c>
      <c r="D7" s="37"/>
      <c r="E7" s="40"/>
      <c r="F7" s="100"/>
      <c r="G7" s="42"/>
      <c r="H7" s="40"/>
      <c r="I7" s="43"/>
      <c r="J7" s="39"/>
      <c r="K7" s="34"/>
      <c r="M7"/>
      <c r="N7"/>
      <c r="O7" s="34"/>
    </row>
    <row r="8" spans="1:15" ht="12.75">
      <c r="A8" s="36"/>
      <c r="B8" s="40">
        <v>10</v>
      </c>
      <c r="C8" s="55">
        <v>123.00257615399178</v>
      </c>
      <c r="D8" s="37"/>
      <c r="E8" s="40"/>
      <c r="F8" s="100"/>
      <c r="G8" s="37"/>
      <c r="H8" s="40"/>
      <c r="I8" s="43"/>
      <c r="J8" s="39"/>
      <c r="K8" s="34"/>
      <c r="L8" s="34"/>
      <c r="M8"/>
      <c r="N8"/>
      <c r="O8" s="34"/>
    </row>
    <row r="9" spans="1:15" ht="12.75">
      <c r="A9" s="36"/>
      <c r="B9" s="40"/>
      <c r="C9" s="55"/>
      <c r="D9" s="37"/>
      <c r="E9" s="40"/>
      <c r="F9" s="100"/>
      <c r="G9" s="42"/>
      <c r="H9" s="40"/>
      <c r="I9" s="43"/>
      <c r="J9" s="39"/>
      <c r="K9" s="34"/>
      <c r="L9" s="34"/>
      <c r="M9"/>
      <c r="N9"/>
      <c r="O9" s="34"/>
    </row>
    <row r="10" spans="1:15" ht="12.75">
      <c r="A10" s="36"/>
      <c r="B10" s="40"/>
      <c r="C10" s="55"/>
      <c r="D10" s="37"/>
      <c r="E10" s="40"/>
      <c r="F10" s="100"/>
      <c r="G10" s="42"/>
      <c r="H10" s="40"/>
      <c r="I10" s="43"/>
      <c r="J10" s="39"/>
      <c r="K10" s="34"/>
      <c r="L10" s="34"/>
      <c r="M10" s="34"/>
      <c r="N10" s="34"/>
      <c r="O10" s="34"/>
    </row>
    <row r="11" spans="1:15" ht="12.75">
      <c r="A11" s="36"/>
      <c r="B11" s="40"/>
      <c r="C11" s="55"/>
      <c r="D11" s="37"/>
      <c r="E11" s="40"/>
      <c r="F11" s="100"/>
      <c r="G11" s="42"/>
      <c r="H11" s="40"/>
      <c r="I11" s="43"/>
      <c r="J11" s="39"/>
      <c r="K11" s="34"/>
      <c r="L11" s="34"/>
      <c r="M11" s="34"/>
      <c r="N11" s="34"/>
      <c r="O11" s="34"/>
    </row>
    <row r="12" spans="1:15" ht="12.75">
      <c r="A12" s="36"/>
      <c r="B12" s="40"/>
      <c r="C12" s="55"/>
      <c r="D12" s="37"/>
      <c r="E12" s="40"/>
      <c r="F12" s="100"/>
      <c r="G12" s="42"/>
      <c r="H12" s="40"/>
      <c r="I12" s="43"/>
      <c r="J12" s="39"/>
      <c r="K12" s="34"/>
      <c r="L12" s="34"/>
      <c r="M12" s="34"/>
      <c r="N12" s="34"/>
      <c r="O12" s="34"/>
    </row>
    <row r="13" spans="1:15" ht="12.75">
      <c r="A13" s="36"/>
      <c r="B13" s="40"/>
      <c r="C13" s="55"/>
      <c r="D13" s="37"/>
      <c r="E13" s="40"/>
      <c r="F13" s="100"/>
      <c r="G13" s="42"/>
      <c r="H13" s="40"/>
      <c r="I13" s="43"/>
      <c r="J13" s="39"/>
      <c r="K13" s="34"/>
      <c r="L13" s="34"/>
      <c r="M13" s="34"/>
      <c r="N13" s="34"/>
      <c r="O13" s="34"/>
    </row>
    <row r="14" spans="1:15" ht="12.75">
      <c r="A14" s="36"/>
      <c r="B14" s="40"/>
      <c r="C14" s="55"/>
      <c r="D14" s="37"/>
      <c r="E14" s="40"/>
      <c r="F14" s="100"/>
      <c r="G14" s="42"/>
      <c r="H14" s="40"/>
      <c r="I14" s="43"/>
      <c r="J14" s="39"/>
      <c r="K14" s="44"/>
      <c r="L14" s="44"/>
      <c r="M14" s="44"/>
      <c r="N14" s="45"/>
      <c r="O14" s="45"/>
    </row>
    <row r="15" spans="1:15" ht="12.75">
      <c r="A15" s="36"/>
      <c r="B15" s="40"/>
      <c r="C15" s="55"/>
      <c r="D15" s="46"/>
      <c r="E15" s="40"/>
      <c r="F15" s="100"/>
      <c r="G15" s="42"/>
      <c r="H15" s="40"/>
      <c r="I15" s="43"/>
      <c r="J15" s="39"/>
      <c r="K15" s="44"/>
      <c r="L15" s="44"/>
      <c r="M15" s="44"/>
      <c r="N15" s="45"/>
      <c r="O15" s="45"/>
    </row>
    <row r="16" spans="1:15" ht="12.75">
      <c r="A16" s="36"/>
      <c r="B16" s="40"/>
      <c r="C16" s="55"/>
      <c r="D16" s="46"/>
      <c r="E16" s="40"/>
      <c r="F16" s="100"/>
      <c r="G16" s="42"/>
      <c r="H16" s="40"/>
      <c r="I16" s="43"/>
      <c r="J16" s="39"/>
      <c r="K16" s="44"/>
      <c r="L16" s="44"/>
      <c r="M16" s="44"/>
      <c r="N16" s="44"/>
      <c r="O16" s="44"/>
    </row>
    <row r="17" spans="1:15" ht="12.75">
      <c r="A17" s="36"/>
      <c r="B17" s="40"/>
      <c r="C17" s="55"/>
      <c r="D17" s="46"/>
      <c r="E17" s="40"/>
      <c r="F17" s="100"/>
      <c r="G17" s="42"/>
      <c r="H17" s="40"/>
      <c r="I17" s="43"/>
      <c r="J17" s="39"/>
      <c r="K17" s="44"/>
      <c r="L17" s="44"/>
      <c r="M17" s="44"/>
      <c r="N17" s="44"/>
      <c r="O17" s="44"/>
    </row>
    <row r="18" spans="1:15" ht="12.75">
      <c r="A18" s="36"/>
      <c r="B18" s="42"/>
      <c r="C18" s="42"/>
      <c r="D18" s="42"/>
      <c r="E18" s="42"/>
      <c r="F18" s="42"/>
      <c r="G18" s="42"/>
      <c r="H18" s="42"/>
      <c r="I18" s="42"/>
      <c r="J18" s="39"/>
      <c r="K18" s="44"/>
      <c r="L18" s="44"/>
      <c r="M18" s="44"/>
      <c r="N18" s="44"/>
      <c r="O18" s="44"/>
    </row>
    <row r="19" spans="1:10" ht="12.75">
      <c r="A19" s="36"/>
      <c r="B19" s="42"/>
      <c r="C19" s="37"/>
      <c r="D19" s="42"/>
      <c r="E19" s="42"/>
      <c r="F19" s="42"/>
      <c r="G19" s="42"/>
      <c r="H19" s="42"/>
      <c r="I19" s="42"/>
      <c r="J19" s="39"/>
    </row>
    <row r="20" spans="1:10" ht="12.75">
      <c r="A20" s="36"/>
      <c r="B20" s="42"/>
      <c r="C20" s="37"/>
      <c r="D20" s="46" t="s">
        <v>117</v>
      </c>
      <c r="E20" s="100">
        <v>0.4</v>
      </c>
      <c r="F20" s="42"/>
      <c r="G20" s="42"/>
      <c r="H20" s="42"/>
      <c r="I20" s="42"/>
      <c r="J20" s="39"/>
    </row>
    <row r="21" spans="1:10" ht="12.75">
      <c r="A21" s="36"/>
      <c r="B21" s="42"/>
      <c r="C21" s="42"/>
      <c r="D21" s="42"/>
      <c r="E21" s="42"/>
      <c r="F21" s="42"/>
      <c r="G21" s="42"/>
      <c r="H21" s="42"/>
      <c r="I21" s="42"/>
      <c r="J21" s="39"/>
    </row>
    <row r="22" spans="1:10" ht="12.75">
      <c r="A22" s="36"/>
      <c r="B22" s="42"/>
      <c r="C22" s="47"/>
      <c r="D22" s="48" t="s">
        <v>118</v>
      </c>
      <c r="E22" s="42"/>
      <c r="F22" s="42"/>
      <c r="G22" s="42"/>
      <c r="H22" s="42"/>
      <c r="I22" s="42"/>
      <c r="J22" s="39"/>
    </row>
    <row r="23" spans="1:10" ht="12.75">
      <c r="A23" s="36"/>
      <c r="B23" s="42"/>
      <c r="C23" s="42"/>
      <c r="D23" s="42"/>
      <c r="E23" s="42"/>
      <c r="F23" s="42"/>
      <c r="G23" s="42"/>
      <c r="H23" s="42"/>
      <c r="I23" s="42"/>
      <c r="J23" s="39"/>
    </row>
    <row r="24" spans="1:10" ht="12.75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6" ht="12.75">
      <c r="E26" s="34"/>
    </row>
    <row r="27" spans="2:8" ht="12.75">
      <c r="B27" s="34"/>
      <c r="C27" s="34"/>
      <c r="D27" s="34"/>
      <c r="E27" s="34"/>
      <c r="F27" s="34"/>
      <c r="G27" s="34"/>
      <c r="H27" s="34"/>
    </row>
    <row r="28" spans="2:8" ht="12.75">
      <c r="B28" s="34"/>
      <c r="C28" s="34"/>
      <c r="D28" s="34"/>
      <c r="E28" s="34"/>
      <c r="F28" s="34"/>
      <c r="G28" s="34"/>
      <c r="H28" s="34"/>
    </row>
    <row r="29" spans="2:8" ht="12.75">
      <c r="B29" s="34"/>
      <c r="C29" s="34"/>
      <c r="D29" s="34"/>
      <c r="E29" s="34"/>
      <c r="F29" s="34"/>
      <c r="G29" s="34"/>
      <c r="H29" s="34"/>
    </row>
    <row r="30" spans="2:8" ht="12.75">
      <c r="B30" s="34"/>
      <c r="C30" s="34"/>
      <c r="D30" s="34"/>
      <c r="E30" s="34"/>
      <c r="F30" s="34"/>
      <c r="G30" s="34"/>
      <c r="H30" s="34"/>
    </row>
    <row r="31" spans="2:8" ht="12.75">
      <c r="B31" s="34"/>
      <c r="C31" s="34"/>
      <c r="D31" s="34"/>
      <c r="E31" s="34"/>
      <c r="F31" s="34"/>
      <c r="G31" s="34"/>
      <c r="H31" s="34"/>
    </row>
    <row r="32" spans="2:8" ht="12.75">
      <c r="B32" s="34"/>
      <c r="C32" s="34"/>
      <c r="D32" s="34"/>
      <c r="E32" s="34"/>
      <c r="F32" s="34"/>
      <c r="G32" s="34"/>
      <c r="H32" s="34"/>
    </row>
    <row r="33" spans="2:8" ht="12.75">
      <c r="B33" s="34"/>
      <c r="C33" s="34"/>
      <c r="D33" s="34"/>
      <c r="E33" s="34"/>
      <c r="F33" s="34"/>
      <c r="G33" s="34"/>
      <c r="H33" s="34"/>
    </row>
    <row r="34" spans="2:8" ht="12.75">
      <c r="B34" s="34"/>
      <c r="C34" s="34"/>
      <c r="D34" s="34"/>
      <c r="E34" s="34"/>
      <c r="F34" s="34"/>
      <c r="G34" s="34"/>
      <c r="H34" s="34"/>
    </row>
    <row r="35" spans="2:8" ht="12.75">
      <c r="B35" s="34"/>
      <c r="C35" s="34"/>
      <c r="D35" s="34"/>
      <c r="E35" s="34"/>
      <c r="F35" s="34"/>
      <c r="G35" s="34"/>
      <c r="H35" s="34"/>
    </row>
    <row r="36" spans="2:8" ht="12.75">
      <c r="B36" s="34"/>
      <c r="C36" s="34"/>
      <c r="D36" s="34"/>
      <c r="E36" s="34"/>
      <c r="F36" s="34"/>
      <c r="G36" s="34"/>
      <c r="H36" s="34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S3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.7109375" style="35" customWidth="1"/>
    <col min="2" max="2" width="19.140625" style="35" bestFit="1" customWidth="1"/>
    <col min="3" max="3" width="19.57421875" style="35" bestFit="1" customWidth="1"/>
    <col min="4" max="4" width="11.00390625" style="35" bestFit="1" customWidth="1"/>
    <col min="5" max="5" width="10.00390625" style="35" customWidth="1"/>
    <col min="6" max="6" width="11.28125" style="35" bestFit="1" customWidth="1"/>
    <col min="7" max="7" width="5.7109375" style="35" customWidth="1"/>
    <col min="8" max="9" width="9.140625" style="35" customWidth="1"/>
    <col min="10" max="10" width="8.57421875" style="35" customWidth="1"/>
    <col min="11" max="11" width="9.140625" style="35" customWidth="1"/>
    <col min="12" max="12" width="9.8515625" style="35" bestFit="1" customWidth="1"/>
    <col min="13" max="13" width="3.8515625" style="35" customWidth="1"/>
    <col min="14" max="14" width="8.140625" style="35" customWidth="1"/>
    <col min="15" max="15" width="10.7109375" style="35" customWidth="1"/>
    <col min="16" max="17" width="9.140625" style="35" customWidth="1"/>
    <col min="18" max="18" width="15.8515625" style="35" bestFit="1" customWidth="1"/>
    <col min="19" max="19" width="17.00390625" style="35" bestFit="1" customWidth="1"/>
    <col min="20" max="16384" width="9.140625" style="35" customWidth="1"/>
  </cols>
  <sheetData>
    <row r="1" spans="1:16" ht="12.75">
      <c r="A1" s="31"/>
      <c r="B1" s="194" t="s">
        <v>124</v>
      </c>
      <c r="C1" s="193"/>
      <c r="D1" s="32"/>
      <c r="E1" s="193" t="s">
        <v>113</v>
      </c>
      <c r="F1" s="193"/>
      <c r="G1" s="32"/>
      <c r="H1" s="193" t="s">
        <v>14</v>
      </c>
      <c r="I1" s="193"/>
      <c r="J1" s="57"/>
      <c r="K1" s="57"/>
      <c r="L1" s="57"/>
      <c r="M1" s="33"/>
      <c r="N1" s="34"/>
      <c r="O1" s="34"/>
      <c r="P1" s="34"/>
    </row>
    <row r="2" spans="1:16" ht="12.75">
      <c r="A2" s="36"/>
      <c r="B2" s="42"/>
      <c r="C2" s="42"/>
      <c r="D2" s="37"/>
      <c r="E2" s="38" t="s">
        <v>15</v>
      </c>
      <c r="F2" s="37" t="s">
        <v>116</v>
      </c>
      <c r="G2" s="37"/>
      <c r="H2" s="38" t="s">
        <v>15</v>
      </c>
      <c r="I2" s="37" t="s">
        <v>16</v>
      </c>
      <c r="J2" s="42"/>
      <c r="K2" s="42"/>
      <c r="L2" s="42"/>
      <c r="M2" s="39"/>
      <c r="N2" s="34"/>
      <c r="O2" s="34"/>
      <c r="P2" s="34"/>
    </row>
    <row r="3" spans="1:16" ht="12.75">
      <c r="A3" s="36"/>
      <c r="B3" s="46" t="s">
        <v>123</v>
      </c>
      <c r="C3" s="41">
        <v>5</v>
      </c>
      <c r="D3" s="37"/>
      <c r="E3" s="40">
        <v>0</v>
      </c>
      <c r="F3" s="102">
        <v>0.005</v>
      </c>
      <c r="G3" s="42"/>
      <c r="H3" s="40">
        <v>0</v>
      </c>
      <c r="I3" s="43">
        <v>0.03</v>
      </c>
      <c r="J3" s="42"/>
      <c r="K3" s="42"/>
      <c r="L3" s="42"/>
      <c r="M3" s="39"/>
      <c r="N3" s="34"/>
      <c r="O3" s="34"/>
      <c r="P3" s="34"/>
    </row>
    <row r="4" spans="1:16" ht="12.75">
      <c r="A4" s="36"/>
      <c r="B4" s="46" t="s">
        <v>117</v>
      </c>
      <c r="C4" s="101">
        <v>0.4</v>
      </c>
      <c r="D4" s="37"/>
      <c r="E4" s="40">
        <v>0.5</v>
      </c>
      <c r="F4" s="102">
        <v>0.01</v>
      </c>
      <c r="G4" s="42"/>
      <c r="H4" s="40">
        <v>1</v>
      </c>
      <c r="I4" s="43">
        <v>0.03664</v>
      </c>
      <c r="J4" s="42"/>
      <c r="K4" s="42"/>
      <c r="L4" s="42"/>
      <c r="M4" s="39"/>
      <c r="N4" s="34"/>
      <c r="O4" s="34"/>
      <c r="P4" s="34"/>
    </row>
    <row r="5" spans="1:16" ht="12.75">
      <c r="A5" s="36"/>
      <c r="B5" s="46" t="s">
        <v>122</v>
      </c>
      <c r="C5" s="41">
        <v>125</v>
      </c>
      <c r="D5" s="37"/>
      <c r="E5" s="40">
        <v>1</v>
      </c>
      <c r="F5" s="102">
        <v>0.0125</v>
      </c>
      <c r="G5" s="42"/>
      <c r="H5" s="40">
        <v>2</v>
      </c>
      <c r="I5" s="43">
        <v>0.0418</v>
      </c>
      <c r="J5" s="42"/>
      <c r="K5" s="42"/>
      <c r="L5" s="42"/>
      <c r="M5" s="39"/>
      <c r="N5" s="34"/>
      <c r="O5" s="34"/>
      <c r="P5" s="34"/>
    </row>
    <row r="6" spans="1:19" ht="12.75">
      <c r="A6" s="36"/>
      <c r="B6" s="48" t="s">
        <v>132</v>
      </c>
      <c r="C6" s="41">
        <v>8</v>
      </c>
      <c r="D6" s="37"/>
      <c r="E6" s="40">
        <v>2</v>
      </c>
      <c r="F6" s="102">
        <v>0.01</v>
      </c>
      <c r="G6" s="42"/>
      <c r="H6" s="40">
        <v>3</v>
      </c>
      <c r="I6" s="43">
        <v>0.04583</v>
      </c>
      <c r="J6" s="42"/>
      <c r="K6" s="42"/>
      <c r="L6" s="42"/>
      <c r="M6" s="39"/>
      <c r="N6" s="34"/>
      <c r="O6" s="34"/>
      <c r="P6" s="34"/>
      <c r="R6" s="89"/>
      <c r="S6" s="89"/>
    </row>
    <row r="7" spans="1:19" ht="12.75">
      <c r="A7" s="36"/>
      <c r="B7" s="42"/>
      <c r="C7" s="42"/>
      <c r="D7" s="37"/>
      <c r="E7" s="40">
        <v>5</v>
      </c>
      <c r="F7" s="102">
        <v>0.01</v>
      </c>
      <c r="G7" s="42"/>
      <c r="H7" s="40">
        <v>4</v>
      </c>
      <c r="I7" s="43">
        <v>0.04896</v>
      </c>
      <c r="J7" s="42"/>
      <c r="K7" s="42"/>
      <c r="L7" s="42"/>
      <c r="M7" s="39"/>
      <c r="N7" s="34"/>
      <c r="O7" s="34"/>
      <c r="P7" s="34"/>
      <c r="R7" s="88"/>
      <c r="S7" s="90"/>
    </row>
    <row r="8" spans="1:19" ht="12.75">
      <c r="A8" s="36"/>
      <c r="B8" s="48" t="s">
        <v>118</v>
      </c>
      <c r="C8" s="42"/>
      <c r="D8" s="37"/>
      <c r="E8" s="40">
        <v>10</v>
      </c>
      <c r="F8" s="102">
        <v>0.01</v>
      </c>
      <c r="G8" s="37"/>
      <c r="H8" s="40">
        <v>5</v>
      </c>
      <c r="I8" s="43">
        <v>0.0514</v>
      </c>
      <c r="J8" s="42"/>
      <c r="K8" s="42"/>
      <c r="L8" s="42"/>
      <c r="M8" s="39"/>
      <c r="N8" s="34"/>
      <c r="O8" s="34"/>
      <c r="P8" s="34"/>
      <c r="R8" s="88"/>
      <c r="S8" s="61"/>
    </row>
    <row r="9" spans="1:19" ht="12.75">
      <c r="A9" s="36"/>
      <c r="B9" s="42"/>
      <c r="C9" s="42"/>
      <c r="D9" s="37"/>
      <c r="E9" s="40"/>
      <c r="F9" s="102"/>
      <c r="G9" s="42"/>
      <c r="H9" s="40">
        <v>6</v>
      </c>
      <c r="I9" s="43">
        <v>0.05331</v>
      </c>
      <c r="J9" s="42"/>
      <c r="K9" s="42"/>
      <c r="L9" s="42"/>
      <c r="M9" s="39"/>
      <c r="N9" s="34"/>
      <c r="O9" s="34"/>
      <c r="P9" s="34"/>
      <c r="R9" s="88"/>
      <c r="S9" s="61"/>
    </row>
    <row r="10" spans="1:19" ht="12.75">
      <c r="A10" s="36"/>
      <c r="B10" s="42"/>
      <c r="C10" s="42"/>
      <c r="D10" s="37"/>
      <c r="E10" s="40"/>
      <c r="F10" s="102"/>
      <c r="G10" s="42"/>
      <c r="H10" s="40">
        <v>7</v>
      </c>
      <c r="I10" s="43">
        <v>0.05479</v>
      </c>
      <c r="J10" s="42"/>
      <c r="K10" s="42"/>
      <c r="L10" s="42"/>
      <c r="M10" s="39"/>
      <c r="N10" s="34"/>
      <c r="O10" s="34"/>
      <c r="P10" s="34"/>
      <c r="R10" s="88"/>
      <c r="S10" s="61"/>
    </row>
    <row r="11" spans="1:19" ht="12.75">
      <c r="A11" s="36"/>
      <c r="B11" s="42"/>
      <c r="C11" s="42"/>
      <c r="D11" s="37"/>
      <c r="E11" s="40"/>
      <c r="F11" s="102"/>
      <c r="G11" s="42"/>
      <c r="H11" s="40">
        <v>8</v>
      </c>
      <c r="I11" s="43">
        <v>0.05594</v>
      </c>
      <c r="J11" s="42"/>
      <c r="K11" s="42"/>
      <c r="L11" s="42"/>
      <c r="M11" s="39"/>
      <c r="N11" s="34"/>
      <c r="O11" s="34"/>
      <c r="P11" s="34"/>
      <c r="R11" s="88"/>
      <c r="S11" s="61"/>
    </row>
    <row r="12" spans="1:16" ht="12.75">
      <c r="A12" s="36"/>
      <c r="B12" s="42"/>
      <c r="C12" s="42"/>
      <c r="D12" s="37"/>
      <c r="E12" s="40"/>
      <c r="F12" s="102"/>
      <c r="G12" s="42"/>
      <c r="H12" s="40">
        <v>9</v>
      </c>
      <c r="I12" s="43">
        <v>0.05684</v>
      </c>
      <c r="J12" s="42"/>
      <c r="K12" s="42"/>
      <c r="L12" s="42"/>
      <c r="M12" s="39"/>
      <c r="N12" s="34"/>
      <c r="O12" s="34"/>
      <c r="P12" s="34"/>
    </row>
    <row r="13" spans="1:16" ht="12.75">
      <c r="A13" s="36"/>
      <c r="B13" s="42"/>
      <c r="C13" s="42"/>
      <c r="D13" s="37"/>
      <c r="E13" s="40"/>
      <c r="F13" s="102"/>
      <c r="G13" s="42"/>
      <c r="H13" s="40">
        <v>10</v>
      </c>
      <c r="I13" s="43">
        <v>0.05754</v>
      </c>
      <c r="J13" s="42"/>
      <c r="K13" s="42"/>
      <c r="L13" s="42"/>
      <c r="M13" s="39"/>
      <c r="N13" s="34"/>
      <c r="O13" s="34"/>
      <c r="P13" s="34"/>
    </row>
    <row r="14" spans="1:16" ht="12.75">
      <c r="A14" s="36"/>
      <c r="B14" s="42"/>
      <c r="C14" s="42"/>
      <c r="D14" s="37"/>
      <c r="E14" s="40"/>
      <c r="F14" s="102"/>
      <c r="G14" s="42"/>
      <c r="H14" s="40"/>
      <c r="I14" s="43"/>
      <c r="J14" s="42"/>
      <c r="K14" s="42"/>
      <c r="L14" s="42"/>
      <c r="M14" s="39"/>
      <c r="N14" s="44"/>
      <c r="O14" s="45"/>
      <c r="P14" s="45"/>
    </row>
    <row r="15" spans="1:16" ht="12.75">
      <c r="A15" s="36"/>
      <c r="B15" s="42"/>
      <c r="C15" s="42"/>
      <c r="D15" s="46"/>
      <c r="E15" s="40"/>
      <c r="F15" s="102"/>
      <c r="G15" s="42"/>
      <c r="H15" s="40"/>
      <c r="I15" s="43"/>
      <c r="J15" s="42"/>
      <c r="K15" s="42"/>
      <c r="L15" s="42"/>
      <c r="M15" s="39"/>
      <c r="N15" s="44"/>
      <c r="O15" s="45"/>
      <c r="P15" s="45"/>
    </row>
    <row r="16" spans="1:16" ht="12.75">
      <c r="A16" s="36"/>
      <c r="B16" s="42"/>
      <c r="C16" s="42"/>
      <c r="D16" s="46"/>
      <c r="E16" s="40"/>
      <c r="F16" s="102"/>
      <c r="G16" s="42"/>
      <c r="H16" s="40"/>
      <c r="I16" s="43"/>
      <c r="J16" s="42"/>
      <c r="K16" s="42"/>
      <c r="L16" s="42"/>
      <c r="M16" s="39"/>
      <c r="N16" s="44"/>
      <c r="O16" s="44"/>
      <c r="P16" s="44"/>
    </row>
    <row r="17" spans="1:16" ht="12.75">
      <c r="A17" s="36"/>
      <c r="B17" s="42"/>
      <c r="C17" s="42"/>
      <c r="D17" s="46"/>
      <c r="E17" s="40"/>
      <c r="F17" s="102"/>
      <c r="G17" s="42"/>
      <c r="H17" s="40"/>
      <c r="I17" s="43"/>
      <c r="J17" s="42"/>
      <c r="K17" s="42"/>
      <c r="L17" s="42"/>
      <c r="M17" s="39"/>
      <c r="N17" s="44"/>
      <c r="O17" s="44"/>
      <c r="P17" s="44"/>
    </row>
    <row r="18" spans="1:16" ht="12.75">
      <c r="A18" s="3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9"/>
      <c r="N18" s="44"/>
      <c r="O18" s="44"/>
      <c r="P18" s="44"/>
    </row>
    <row r="19" spans="1:13" ht="12.75">
      <c r="A19" s="36"/>
      <c r="B19" s="38" t="s">
        <v>121</v>
      </c>
      <c r="C19" s="38" t="s">
        <v>120</v>
      </c>
      <c r="D19" s="38" t="s">
        <v>115</v>
      </c>
      <c r="E19" s="38" t="s">
        <v>119</v>
      </c>
      <c r="F19" s="37" t="s">
        <v>140</v>
      </c>
      <c r="G19" s="42"/>
      <c r="H19" s="42"/>
      <c r="I19" s="42"/>
      <c r="J19" s="38" t="s">
        <v>138</v>
      </c>
      <c r="K19" s="37" t="s">
        <v>139</v>
      </c>
      <c r="L19" s="37" t="s">
        <v>135</v>
      </c>
      <c r="M19" s="39"/>
    </row>
    <row r="20" spans="1:15" ht="12.75">
      <c r="A20" s="36"/>
      <c r="B20" s="56">
        <v>0.1</v>
      </c>
      <c r="C20" s="56">
        <v>0.15</v>
      </c>
      <c r="D20" s="54">
        <v>43.56325704460059</v>
      </c>
      <c r="E20" s="53"/>
      <c r="F20" s="52">
        <v>0.18827116878052366</v>
      </c>
      <c r="G20" s="42"/>
      <c r="H20" s="42"/>
      <c r="I20" s="42"/>
      <c r="J20" s="53">
        <v>0.019219051636111022</v>
      </c>
      <c r="K20" s="52">
        <v>4.411757278945953</v>
      </c>
      <c r="L20" s="52"/>
      <c r="M20" s="39"/>
      <c r="O20" s="58"/>
    </row>
    <row r="21" spans="1:13" ht="12.75">
      <c r="A21" s="36"/>
      <c r="B21" s="62">
        <v>0</v>
      </c>
      <c r="C21" s="62">
        <v>0.03</v>
      </c>
      <c r="D21" s="54">
        <v>500</v>
      </c>
      <c r="E21" s="53">
        <v>0.4069864155523157</v>
      </c>
      <c r="F21" s="52">
        <v>0.2</v>
      </c>
      <c r="G21" s="42"/>
      <c r="H21" s="42"/>
      <c r="I21" s="42"/>
      <c r="J21" s="53">
        <v>0.5512740238816749</v>
      </c>
      <c r="K21" s="52">
        <v>2.8857521665871837</v>
      </c>
      <c r="L21" s="52"/>
      <c r="M21" s="39"/>
    </row>
    <row r="22" spans="1:13" ht="12.75">
      <c r="A22" s="36"/>
      <c r="B22" s="56">
        <v>0</v>
      </c>
      <c r="C22" s="56">
        <v>0.06</v>
      </c>
      <c r="D22" s="54">
        <v>1247.480937259358</v>
      </c>
      <c r="E22" s="53"/>
      <c r="F22" s="52">
        <v>0.08601022637221428</v>
      </c>
      <c r="G22" s="42"/>
      <c r="H22" s="42"/>
      <c r="I22" s="42"/>
      <c r="J22" s="53">
        <v>0.42163825793145</v>
      </c>
      <c r="K22" s="52">
        <v>3.379917442728739</v>
      </c>
      <c r="L22" s="52"/>
      <c r="M22" s="39"/>
    </row>
    <row r="23" spans="1:13" ht="12.75">
      <c r="A23" s="36"/>
      <c r="B23" s="56">
        <v>0</v>
      </c>
      <c r="C23" s="56">
        <v>0.1</v>
      </c>
      <c r="D23" s="54">
        <v>630.0068133256797</v>
      </c>
      <c r="E23" s="53"/>
      <c r="F23" s="52">
        <v>0.279884022328652</v>
      </c>
      <c r="G23" s="42"/>
      <c r="H23" s="42"/>
      <c r="I23" s="42"/>
      <c r="J23" s="53">
        <v>0.24118517035037024</v>
      </c>
      <c r="K23" s="52">
        <v>3.828294635056438</v>
      </c>
      <c r="L23" s="52"/>
      <c r="M23" s="39"/>
    </row>
    <row r="24" spans="1:13" ht="12.75">
      <c r="A24" s="36"/>
      <c r="B24" s="56">
        <v>0</v>
      </c>
      <c r="C24" s="56">
        <v>0.2</v>
      </c>
      <c r="D24" s="54">
        <v>305.343780524385</v>
      </c>
      <c r="E24" s="53"/>
      <c r="F24" s="52">
        <v>0.46374236996848023</v>
      </c>
      <c r="G24" s="42"/>
      <c r="H24" s="42"/>
      <c r="I24" s="42"/>
      <c r="J24" s="53">
        <v>0.1260095934629268</v>
      </c>
      <c r="K24" s="52">
        <v>4.126810549293752</v>
      </c>
      <c r="L24" s="52"/>
      <c r="M24" s="39"/>
    </row>
    <row r="25" spans="1:13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8" ht="12.75">
      <c r="B26" s="34"/>
      <c r="C26" s="34"/>
      <c r="D26" s="34"/>
      <c r="E26" s="34"/>
      <c r="F26" s="34"/>
      <c r="G26" s="34"/>
      <c r="H26" s="34"/>
    </row>
    <row r="27" spans="2:8" ht="12.75">
      <c r="B27" s="34"/>
      <c r="C27" s="34"/>
      <c r="D27" s="34"/>
      <c r="E27" s="34"/>
      <c r="F27" s="34"/>
      <c r="G27" s="34"/>
      <c r="H27" s="34"/>
    </row>
    <row r="28" spans="2:8" ht="12.75">
      <c r="B28"/>
      <c r="C28"/>
      <c r="D28"/>
      <c r="E28"/>
      <c r="F28"/>
      <c r="G28"/>
      <c r="H28" s="34"/>
    </row>
    <row r="29" spans="2:8" ht="12.75">
      <c r="B29"/>
      <c r="C29"/>
      <c r="D29"/>
      <c r="E29"/>
      <c r="F29"/>
      <c r="G29"/>
      <c r="H29" s="34"/>
    </row>
    <row r="30" spans="2:11" ht="12.75">
      <c r="B30"/>
      <c r="C30"/>
      <c r="D30"/>
      <c r="E30"/>
      <c r="F30"/>
      <c r="G30"/>
      <c r="H30" s="34"/>
      <c r="J30"/>
      <c r="K30"/>
    </row>
    <row r="31" spans="2:11" ht="12.75">
      <c r="B31"/>
      <c r="C31"/>
      <c r="D31"/>
      <c r="E31"/>
      <c r="F31"/>
      <c r="G31"/>
      <c r="H31" s="34"/>
      <c r="J31"/>
      <c r="K31"/>
    </row>
    <row r="32" spans="2:11" ht="12.75">
      <c r="B32"/>
      <c r="C32"/>
      <c r="D32"/>
      <c r="E32"/>
      <c r="F32"/>
      <c r="G32"/>
      <c r="H32" s="34"/>
      <c r="J32"/>
      <c r="K32"/>
    </row>
    <row r="33" spans="2:11" ht="12.75">
      <c r="B33"/>
      <c r="C33"/>
      <c r="D33" s="87"/>
      <c r="E33" s="87"/>
      <c r="F33" s="87"/>
      <c r="G33"/>
      <c r="H33" s="34"/>
      <c r="J33"/>
      <c r="K33"/>
    </row>
    <row r="34" spans="2:11" ht="12.75">
      <c r="B34"/>
      <c r="C34"/>
      <c r="D34" s="87"/>
      <c r="E34" s="87"/>
      <c r="F34" s="87"/>
      <c r="G34"/>
      <c r="H34" s="34"/>
      <c r="J34"/>
      <c r="K34"/>
    </row>
    <row r="35" spans="2:7" ht="12.75">
      <c r="B35"/>
      <c r="C35"/>
      <c r="D35" s="87"/>
      <c r="E35" s="87"/>
      <c r="F35" s="87"/>
      <c r="G35"/>
    </row>
    <row r="36" spans="2:7" ht="12.75">
      <c r="B36"/>
      <c r="C36"/>
      <c r="D36" s="87"/>
      <c r="E36" s="87"/>
      <c r="F36" s="87"/>
      <c r="G36"/>
    </row>
    <row r="37" spans="2:7" ht="12.75">
      <c r="B37"/>
      <c r="C37"/>
      <c r="D37" s="87"/>
      <c r="E37" s="87"/>
      <c r="F37" s="87"/>
      <c r="G37"/>
    </row>
    <row r="38" spans="2:7" ht="12.75">
      <c r="B38"/>
      <c r="C38"/>
      <c r="D38" s="87"/>
      <c r="E38" s="87"/>
      <c r="F38"/>
      <c r="G38"/>
    </row>
    <row r="39" ht="12.75">
      <c r="D39" s="59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L1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104" customWidth="1"/>
  </cols>
  <sheetData>
    <row r="2" ht="15">
      <c r="A2" s="103" t="s">
        <v>234</v>
      </c>
    </row>
    <row r="3" ht="15">
      <c r="A3" s="105" t="s">
        <v>235</v>
      </c>
    </row>
    <row r="4" ht="15">
      <c r="A4" s="105" t="s">
        <v>236</v>
      </c>
    </row>
    <row r="5" spans="1:3" ht="15">
      <c r="A5" s="106" t="s">
        <v>237</v>
      </c>
      <c r="B5" s="107">
        <v>50</v>
      </c>
      <c r="C5" s="104" t="s">
        <v>225</v>
      </c>
    </row>
    <row r="6" spans="1:3" ht="15">
      <c r="A6" s="106" t="s">
        <v>238</v>
      </c>
      <c r="B6" s="107">
        <v>50</v>
      </c>
      <c r="C6" s="104" t="s">
        <v>68</v>
      </c>
    </row>
    <row r="7" spans="1:3" ht="15">
      <c r="A7" s="106" t="s">
        <v>239</v>
      </c>
      <c r="B7" s="107">
        <v>0.05</v>
      </c>
      <c r="C7" s="104" t="s">
        <v>240</v>
      </c>
    </row>
    <row r="8" spans="1:3" ht="15">
      <c r="A8" s="106" t="s">
        <v>241</v>
      </c>
      <c r="B8" s="107">
        <v>0.02</v>
      </c>
      <c r="C8" s="104" t="s">
        <v>242</v>
      </c>
    </row>
    <row r="9" spans="1:3" ht="15">
      <c r="A9" s="106" t="s">
        <v>243</v>
      </c>
      <c r="B9" s="107">
        <v>0.25</v>
      </c>
      <c r="C9" s="104" t="s">
        <v>244</v>
      </c>
    </row>
    <row r="10" spans="1:3" ht="15">
      <c r="A10" s="106" t="s">
        <v>245</v>
      </c>
      <c r="B10" s="107">
        <v>1</v>
      </c>
      <c r="C10" s="104" t="s">
        <v>246</v>
      </c>
    </row>
    <row r="11" spans="1:3" ht="15">
      <c r="A11" s="106" t="s">
        <v>247</v>
      </c>
      <c r="B11" s="107" t="b">
        <v>1</v>
      </c>
      <c r="C11" s="104" t="s">
        <v>248</v>
      </c>
    </row>
    <row r="12" spans="1:3" ht="15">
      <c r="A12" s="106" t="s">
        <v>249</v>
      </c>
      <c r="B12" s="107" t="b">
        <v>0</v>
      </c>
      <c r="C12" s="104" t="s">
        <v>250</v>
      </c>
    </row>
    <row r="13" spans="1:3" ht="15">
      <c r="A13" s="106" t="s">
        <v>251</v>
      </c>
      <c r="B13" s="107"/>
      <c r="C13" s="104" t="s">
        <v>252</v>
      </c>
    </row>
    <row r="14" spans="1:3" ht="15">
      <c r="A14" s="106" t="s">
        <v>253</v>
      </c>
      <c r="B14" s="107">
        <v>0</v>
      </c>
      <c r="C14" s="104" t="s">
        <v>254</v>
      </c>
    </row>
    <row r="15" ht="15">
      <c r="B15" s="107"/>
    </row>
    <row r="16" ht="15.75" thickBot="1">
      <c r="B16" s="107"/>
    </row>
    <row r="17" spans="1:7" ht="15.75" thickBot="1">
      <c r="A17" s="105" t="s">
        <v>255</v>
      </c>
      <c r="B17" s="107">
        <f>Black_Scholes(B5,B6,B7,B8,B9,B10,B11,B12,,B14)</f>
        <v>5.561880964029061</v>
      </c>
      <c r="C17" s="104" t="s">
        <v>256</v>
      </c>
      <c r="F17" s="195" t="s">
        <v>257</v>
      </c>
      <c r="G17" s="196"/>
    </row>
    <row r="18" spans="2:7" ht="15">
      <c r="B18" s="107">
        <f>Black_Scholes(B5,B6,B7,B8,B9,B10,B11,B12,F18:G19,B14)</f>
        <v>5.010268245485991</v>
      </c>
      <c r="C18" s="104" t="s">
        <v>258</v>
      </c>
      <c r="F18" s="108">
        <v>0.5</v>
      </c>
      <c r="G18" s="109">
        <v>1</v>
      </c>
    </row>
    <row r="19" spans="6:7" ht="15.75" thickBot="1">
      <c r="F19" s="110">
        <v>0.75</v>
      </c>
      <c r="G19" s="111">
        <v>1</v>
      </c>
    </row>
    <row r="21" ht="15">
      <c r="A21" s="103" t="s">
        <v>259</v>
      </c>
    </row>
    <row r="22" ht="15">
      <c r="A22" s="105" t="s">
        <v>260</v>
      </c>
    </row>
    <row r="23" ht="15">
      <c r="A23" s="105" t="s">
        <v>236</v>
      </c>
    </row>
    <row r="24" spans="1:3" ht="15">
      <c r="A24" s="106" t="s">
        <v>237</v>
      </c>
      <c r="B24" s="107">
        <v>100</v>
      </c>
      <c r="C24" s="104" t="s">
        <v>225</v>
      </c>
    </row>
    <row r="25" spans="1:3" ht="15">
      <c r="A25" s="106" t="s">
        <v>238</v>
      </c>
      <c r="B25" s="107">
        <v>100</v>
      </c>
      <c r="C25" s="104" t="s">
        <v>68</v>
      </c>
    </row>
    <row r="26" spans="1:3" ht="15">
      <c r="A26" s="106" t="s">
        <v>239</v>
      </c>
      <c r="B26" s="107">
        <v>0.02</v>
      </c>
      <c r="C26" s="104" t="s">
        <v>240</v>
      </c>
    </row>
    <row r="27" spans="1:3" ht="15">
      <c r="A27" s="106" t="s">
        <v>241</v>
      </c>
      <c r="B27" s="107">
        <v>0</v>
      </c>
      <c r="C27" s="104" t="s">
        <v>242</v>
      </c>
    </row>
    <row r="28" spans="1:3" ht="15">
      <c r="A28" s="106" t="s">
        <v>243</v>
      </c>
      <c r="B28" s="107">
        <v>0.3</v>
      </c>
      <c r="C28" s="104" t="s">
        <v>244</v>
      </c>
    </row>
    <row r="29" spans="1:3" ht="15">
      <c r="A29" s="106" t="s">
        <v>245</v>
      </c>
      <c r="B29" s="107">
        <v>1</v>
      </c>
      <c r="C29" s="104" t="s">
        <v>246</v>
      </c>
    </row>
    <row r="30" spans="1:3" ht="15">
      <c r="A30" s="106" t="s">
        <v>247</v>
      </c>
      <c r="B30" s="107" t="b">
        <v>1</v>
      </c>
      <c r="C30" s="104" t="s">
        <v>248</v>
      </c>
    </row>
    <row r="31" spans="1:3" ht="15">
      <c r="A31" s="106" t="s">
        <v>249</v>
      </c>
      <c r="B31" s="107" t="b">
        <v>0</v>
      </c>
      <c r="C31" s="104" t="s">
        <v>250</v>
      </c>
    </row>
    <row r="32" spans="1:3" ht="15">
      <c r="A32" s="106" t="s">
        <v>251</v>
      </c>
      <c r="B32" s="107"/>
      <c r="C32" s="104" t="s">
        <v>252</v>
      </c>
    </row>
    <row r="33" spans="1:3" ht="15">
      <c r="A33" s="106" t="s">
        <v>261</v>
      </c>
      <c r="B33" s="107" t="b">
        <v>0</v>
      </c>
      <c r="C33" s="104" t="s">
        <v>262</v>
      </c>
    </row>
    <row r="34" spans="1:3" ht="15">
      <c r="A34" s="106" t="s">
        <v>263</v>
      </c>
      <c r="B34" s="107">
        <v>500</v>
      </c>
      <c r="C34" s="104" t="s">
        <v>264</v>
      </c>
    </row>
    <row r="35" spans="1:3" ht="15">
      <c r="A35" s="106" t="s">
        <v>253</v>
      </c>
      <c r="B35" s="107">
        <v>0</v>
      </c>
      <c r="C35" s="104" t="s">
        <v>254</v>
      </c>
    </row>
    <row r="36" ht="15">
      <c r="B36" s="107"/>
    </row>
    <row r="37" spans="1:3" ht="15">
      <c r="A37" s="105" t="s">
        <v>255</v>
      </c>
      <c r="B37" s="107">
        <f>TreeEquityOpt(B24,B25,B26,B27,B28,B29,B30,B31,,B33,B34,B35)</f>
        <v>12.815667747123443</v>
      </c>
      <c r="C37" s="104" t="s">
        <v>256</v>
      </c>
    </row>
    <row r="38" spans="2:3" ht="15">
      <c r="B38" s="107">
        <f>TreeEquityOpt(B24,B25,B26,B27,B28,B29,B30,B31,F18:G19,B33,B34,B35)</f>
        <v>11.693173628294597</v>
      </c>
      <c r="C38" s="104" t="s">
        <v>258</v>
      </c>
    </row>
    <row r="40" ht="15">
      <c r="A40" s="103" t="s">
        <v>265</v>
      </c>
    </row>
    <row r="41" ht="15">
      <c r="A41" s="105" t="s">
        <v>266</v>
      </c>
    </row>
    <row r="42" ht="15">
      <c r="A42" s="105" t="s">
        <v>236</v>
      </c>
    </row>
    <row r="43" spans="1:3" ht="15">
      <c r="A43" s="106" t="s">
        <v>237</v>
      </c>
      <c r="B43" s="107">
        <v>50</v>
      </c>
      <c r="C43" s="104" t="s">
        <v>225</v>
      </c>
    </row>
    <row r="44" spans="1:3" ht="15">
      <c r="A44" s="106" t="s">
        <v>238</v>
      </c>
      <c r="B44" s="107">
        <v>50</v>
      </c>
      <c r="C44" s="104" t="s">
        <v>68</v>
      </c>
    </row>
    <row r="45" spans="1:3" ht="15">
      <c r="A45" s="106" t="s">
        <v>239</v>
      </c>
      <c r="B45" s="107">
        <v>0.05</v>
      </c>
      <c r="C45" s="104" t="s">
        <v>240</v>
      </c>
    </row>
    <row r="46" spans="1:3" ht="15">
      <c r="A46" s="106" t="s">
        <v>241</v>
      </c>
      <c r="B46" s="107">
        <v>0.02</v>
      </c>
      <c r="C46" s="104" t="s">
        <v>242</v>
      </c>
    </row>
    <row r="47" spans="1:3" ht="15">
      <c r="A47" s="106" t="s">
        <v>243</v>
      </c>
      <c r="B47" s="107">
        <v>0.25</v>
      </c>
      <c r="C47" s="104" t="s">
        <v>244</v>
      </c>
    </row>
    <row r="48" spans="1:3" ht="15">
      <c r="A48" s="106" t="s">
        <v>245</v>
      </c>
      <c r="B48" s="107">
        <v>1</v>
      </c>
      <c r="C48" s="104" t="s">
        <v>246</v>
      </c>
    </row>
    <row r="49" spans="1:3" ht="15">
      <c r="A49" s="106" t="s">
        <v>247</v>
      </c>
      <c r="B49" s="107" t="b">
        <v>1</v>
      </c>
      <c r="C49" s="104" t="s">
        <v>248</v>
      </c>
    </row>
    <row r="50" spans="1:3" ht="15">
      <c r="A50" s="106" t="s">
        <v>249</v>
      </c>
      <c r="B50" s="107" t="b">
        <v>0</v>
      </c>
      <c r="C50" s="104" t="s">
        <v>250</v>
      </c>
    </row>
    <row r="51" spans="1:3" ht="15">
      <c r="A51" s="106" t="s">
        <v>251</v>
      </c>
      <c r="B51" s="107"/>
      <c r="C51" s="104" t="s">
        <v>252</v>
      </c>
    </row>
    <row r="52" spans="1:3" ht="15">
      <c r="A52" s="106" t="s">
        <v>267</v>
      </c>
      <c r="B52" s="107" t="b">
        <v>1</v>
      </c>
      <c r="C52" s="104" t="s">
        <v>268</v>
      </c>
    </row>
    <row r="53" spans="1:3" ht="15">
      <c r="A53" s="106" t="s">
        <v>253</v>
      </c>
      <c r="B53" s="107">
        <v>0</v>
      </c>
      <c r="C53" s="104" t="s">
        <v>254</v>
      </c>
    </row>
    <row r="54" ht="15.75" thickBot="1">
      <c r="B54" s="107"/>
    </row>
    <row r="55" spans="1:7" ht="15.75" thickBot="1">
      <c r="A55" s="105" t="s">
        <v>255</v>
      </c>
      <c r="B55" s="107">
        <f>BinaryOption(B43,B44,B45,B46,B47,B48,B49,B50,,B52,B53)</f>
        <v>0.4737172919773016</v>
      </c>
      <c r="C55" s="104" t="s">
        <v>256</v>
      </c>
      <c r="F55" s="197" t="s">
        <v>257</v>
      </c>
      <c r="G55" s="198"/>
    </row>
    <row r="56" spans="2:7" ht="15">
      <c r="B56" s="107">
        <f>BinaryOption(B43,B44,B45,B46,B47,B48,B49,B50,F56:G57,B52,B53)</f>
        <v>0.4440905196999579</v>
      </c>
      <c r="C56" s="104" t="s">
        <v>258</v>
      </c>
      <c r="F56" s="112">
        <v>0.5</v>
      </c>
      <c r="G56" s="113">
        <v>1</v>
      </c>
    </row>
    <row r="57" spans="6:7" ht="15.75" thickBot="1">
      <c r="F57" s="110">
        <v>0.75</v>
      </c>
      <c r="G57" s="111">
        <v>1</v>
      </c>
    </row>
    <row r="59" ht="15">
      <c r="A59" s="103" t="s">
        <v>269</v>
      </c>
    </row>
    <row r="60" ht="15">
      <c r="A60" s="105" t="s">
        <v>270</v>
      </c>
    </row>
    <row r="61" ht="15">
      <c r="A61" s="105" t="s">
        <v>236</v>
      </c>
    </row>
    <row r="62" spans="1:3" ht="15">
      <c r="A62" s="106" t="s">
        <v>237</v>
      </c>
      <c r="B62" s="107">
        <v>50</v>
      </c>
      <c r="C62" s="104" t="s">
        <v>225</v>
      </c>
    </row>
    <row r="63" spans="1:3" ht="15">
      <c r="A63" s="106" t="s">
        <v>238</v>
      </c>
      <c r="B63" s="107">
        <v>50</v>
      </c>
      <c r="C63" s="104" t="s">
        <v>68</v>
      </c>
    </row>
    <row r="64" spans="1:3" ht="15">
      <c r="A64" s="106" t="s">
        <v>239</v>
      </c>
      <c r="B64" s="107">
        <v>0.05</v>
      </c>
      <c r="C64" s="104" t="s">
        <v>240</v>
      </c>
    </row>
    <row r="65" spans="1:3" ht="15">
      <c r="A65" s="106" t="s">
        <v>241</v>
      </c>
      <c r="B65" s="107">
        <v>0.02</v>
      </c>
      <c r="C65" s="104" t="s">
        <v>242</v>
      </c>
    </row>
    <row r="66" spans="1:3" ht="15">
      <c r="A66" s="106" t="s">
        <v>243</v>
      </c>
      <c r="B66" s="107">
        <v>0.25</v>
      </c>
      <c r="C66" s="104" t="s">
        <v>244</v>
      </c>
    </row>
    <row r="67" spans="1:3" ht="15">
      <c r="A67" s="106" t="s">
        <v>245</v>
      </c>
      <c r="B67" s="107">
        <v>1</v>
      </c>
      <c r="C67" s="104" t="s">
        <v>246</v>
      </c>
    </row>
    <row r="68" spans="1:3" ht="15">
      <c r="A68" s="106" t="s">
        <v>247</v>
      </c>
      <c r="B68" s="107" t="b">
        <v>1</v>
      </c>
      <c r="C68" s="104" t="s">
        <v>248</v>
      </c>
    </row>
    <row r="69" spans="1:3" ht="15">
      <c r="A69" s="106" t="s">
        <v>249</v>
      </c>
      <c r="B69" s="107" t="b">
        <v>0</v>
      </c>
      <c r="C69" s="104" t="s">
        <v>250</v>
      </c>
    </row>
    <row r="70" spans="1:3" ht="15">
      <c r="A70" s="106" t="s">
        <v>271</v>
      </c>
      <c r="B70" s="107">
        <v>60</v>
      </c>
      <c r="C70" s="104" t="s">
        <v>272</v>
      </c>
    </row>
    <row r="71" spans="1:3" ht="15">
      <c r="A71" s="106" t="s">
        <v>273</v>
      </c>
      <c r="B71" s="107" t="b">
        <v>1</v>
      </c>
      <c r="C71" s="104" t="s">
        <v>274</v>
      </c>
    </row>
    <row r="72" spans="1:3" ht="15">
      <c r="A72" s="106" t="s">
        <v>275</v>
      </c>
      <c r="B72" s="107" t="b">
        <v>0</v>
      </c>
      <c r="C72" s="104" t="s">
        <v>276</v>
      </c>
    </row>
    <row r="73" spans="1:3" ht="15">
      <c r="A73" s="106" t="s">
        <v>253</v>
      </c>
      <c r="B73" s="107">
        <v>0</v>
      </c>
      <c r="C73" s="104" t="s">
        <v>254</v>
      </c>
    </row>
    <row r="75" spans="1:2" ht="15">
      <c r="A75" s="105" t="s">
        <v>255</v>
      </c>
      <c r="B75" s="107">
        <f>BarrierOption(B62,B63,B64,B65,B66,B67,B68,B69,B70,B71,B72,B73)</f>
        <v>0.3363388637210356</v>
      </c>
    </row>
    <row r="78" ht="15">
      <c r="A78" s="103" t="s">
        <v>277</v>
      </c>
    </row>
    <row r="79" ht="15">
      <c r="A79" s="105" t="s">
        <v>278</v>
      </c>
    </row>
    <row r="80" ht="15">
      <c r="A80" s="105" t="s">
        <v>236</v>
      </c>
    </row>
    <row r="81" spans="1:3" ht="15">
      <c r="A81" s="106" t="s">
        <v>237</v>
      </c>
      <c r="B81" s="107">
        <v>50</v>
      </c>
      <c r="C81" s="104" t="s">
        <v>225</v>
      </c>
    </row>
    <row r="82" spans="1:3" ht="15">
      <c r="A82" s="106" t="s">
        <v>238</v>
      </c>
      <c r="B82" s="107">
        <v>50</v>
      </c>
      <c r="C82" s="104" t="s">
        <v>68</v>
      </c>
    </row>
    <row r="83" spans="1:3" ht="15">
      <c r="A83" s="106" t="s">
        <v>239</v>
      </c>
      <c r="B83" s="107">
        <v>0.05</v>
      </c>
      <c r="C83" s="104" t="s">
        <v>240</v>
      </c>
    </row>
    <row r="84" spans="1:3" ht="15">
      <c r="A84" s="106" t="s">
        <v>241</v>
      </c>
      <c r="B84" s="107">
        <v>0.02</v>
      </c>
      <c r="C84" s="104" t="s">
        <v>242</v>
      </c>
    </row>
    <row r="85" spans="1:3" ht="15">
      <c r="A85" s="106" t="s">
        <v>243</v>
      </c>
      <c r="B85" s="107">
        <v>0.25</v>
      </c>
      <c r="C85" s="104" t="s">
        <v>244</v>
      </c>
    </row>
    <row r="86" spans="1:3" ht="15">
      <c r="A86" s="106" t="s">
        <v>245</v>
      </c>
      <c r="B86" s="107">
        <v>1</v>
      </c>
      <c r="C86" s="104" t="s">
        <v>246</v>
      </c>
    </row>
    <row r="87" spans="1:3" ht="15">
      <c r="A87" s="106" t="s">
        <v>247</v>
      </c>
      <c r="B87" s="107" t="b">
        <v>1</v>
      </c>
      <c r="C87" s="104" t="s">
        <v>248</v>
      </c>
    </row>
    <row r="88" spans="1:3" ht="15">
      <c r="A88" s="106" t="s">
        <v>249</v>
      </c>
      <c r="B88" s="107" t="b">
        <v>0</v>
      </c>
      <c r="C88" s="104" t="s">
        <v>250</v>
      </c>
    </row>
    <row r="89" spans="1:3" ht="15">
      <c r="A89" s="106" t="s">
        <v>279</v>
      </c>
      <c r="B89" s="107">
        <v>50</v>
      </c>
      <c r="C89" s="104" t="s">
        <v>280</v>
      </c>
    </row>
    <row r="90" spans="1:3" ht="15">
      <c r="A90" s="106" t="s">
        <v>281</v>
      </c>
      <c r="B90" s="107">
        <v>0</v>
      </c>
      <c r="C90" s="104" t="s">
        <v>282</v>
      </c>
    </row>
    <row r="91" spans="1:3" ht="15">
      <c r="A91" s="106" t="s">
        <v>253</v>
      </c>
      <c r="B91" s="107">
        <v>3</v>
      </c>
      <c r="C91" s="104" t="s">
        <v>254</v>
      </c>
    </row>
    <row r="92" ht="15">
      <c r="B92" s="107"/>
    </row>
    <row r="93" spans="1:2" ht="15">
      <c r="A93" s="105" t="s">
        <v>255</v>
      </c>
      <c r="B93" s="107">
        <f>AverageOption(B81,B82,B83,B84,B85,B86,B87,B88,B89,B90,B91)</f>
        <v>0.11081174481554301</v>
      </c>
    </row>
    <row r="96" ht="15">
      <c r="A96" s="103" t="s">
        <v>283</v>
      </c>
    </row>
    <row r="97" ht="15">
      <c r="A97" s="105" t="s">
        <v>284</v>
      </c>
    </row>
    <row r="98" ht="15">
      <c r="A98" s="105" t="s">
        <v>236</v>
      </c>
    </row>
    <row r="99" spans="1:3" ht="15">
      <c r="A99" s="106" t="s">
        <v>237</v>
      </c>
      <c r="B99" s="107">
        <v>50</v>
      </c>
      <c r="C99" s="104" t="s">
        <v>225</v>
      </c>
    </row>
    <row r="100" spans="1:3" ht="15">
      <c r="A100" s="106" t="s">
        <v>238</v>
      </c>
      <c r="B100" s="107">
        <v>50</v>
      </c>
      <c r="C100" s="104" t="s">
        <v>68</v>
      </c>
    </row>
    <row r="101" spans="1:3" ht="15">
      <c r="A101" s="106" t="s">
        <v>239</v>
      </c>
      <c r="B101" s="107">
        <v>0.05</v>
      </c>
      <c r="C101" s="104" t="s">
        <v>240</v>
      </c>
    </row>
    <row r="102" spans="1:3" ht="15">
      <c r="A102" s="106" t="s">
        <v>241</v>
      </c>
      <c r="B102" s="107">
        <v>0.02</v>
      </c>
      <c r="C102" s="104" t="s">
        <v>242</v>
      </c>
    </row>
    <row r="103" spans="1:3" ht="15">
      <c r="A103" s="106" t="s">
        <v>243</v>
      </c>
      <c r="B103" s="107">
        <v>0.25</v>
      </c>
      <c r="C103" s="104" t="s">
        <v>244</v>
      </c>
    </row>
    <row r="104" spans="1:3" ht="15">
      <c r="A104" s="106" t="s">
        <v>245</v>
      </c>
      <c r="B104" s="107">
        <v>1</v>
      </c>
      <c r="C104" s="104" t="s">
        <v>246</v>
      </c>
    </row>
    <row r="105" spans="1:3" ht="15">
      <c r="A105" s="106" t="s">
        <v>249</v>
      </c>
      <c r="B105" s="107" t="b">
        <v>0</v>
      </c>
      <c r="C105" s="104" t="s">
        <v>250</v>
      </c>
    </row>
    <row r="106" spans="1:3" ht="15">
      <c r="A106" s="106" t="s">
        <v>285</v>
      </c>
      <c r="B106" s="107">
        <v>0.35</v>
      </c>
      <c r="C106" s="104" t="s">
        <v>286</v>
      </c>
    </row>
    <row r="107" spans="1:3" ht="15">
      <c r="A107" s="106" t="s">
        <v>253</v>
      </c>
      <c r="B107" s="107">
        <v>0</v>
      </c>
      <c r="C107" s="104" t="s">
        <v>254</v>
      </c>
    </row>
    <row r="108" ht="15">
      <c r="B108" s="107"/>
    </row>
    <row r="109" spans="1:2" ht="15">
      <c r="A109" s="105" t="s">
        <v>255</v>
      </c>
      <c r="B109" s="107">
        <f>ChooserOption(B99,B100,B101,B102,B103,B104,B105,B106,B107)</f>
        <v>7.7423662893227405</v>
      </c>
    </row>
    <row r="110" ht="15">
      <c r="A110" s="105"/>
    </row>
    <row r="112" ht="15">
      <c r="A112" s="103" t="s">
        <v>287</v>
      </c>
    </row>
    <row r="113" ht="15">
      <c r="A113" s="105" t="s">
        <v>288</v>
      </c>
    </row>
    <row r="114" ht="15">
      <c r="A114" s="105" t="s">
        <v>236</v>
      </c>
    </row>
    <row r="115" spans="1:3" ht="15">
      <c r="A115" s="106" t="s">
        <v>237</v>
      </c>
      <c r="B115" s="107">
        <v>50</v>
      </c>
      <c r="C115" s="104" t="s">
        <v>225</v>
      </c>
    </row>
    <row r="116" spans="1:3" ht="15">
      <c r="A116" s="106" t="s">
        <v>289</v>
      </c>
      <c r="B116" s="107">
        <v>5</v>
      </c>
      <c r="C116" s="104" t="s">
        <v>290</v>
      </c>
    </row>
    <row r="117" spans="1:3" ht="15">
      <c r="A117" s="106" t="s">
        <v>239</v>
      </c>
      <c r="B117" s="107">
        <v>0.05</v>
      </c>
      <c r="C117" s="104" t="s">
        <v>240</v>
      </c>
    </row>
    <row r="118" spans="1:3" ht="15">
      <c r="A118" s="106" t="s">
        <v>241</v>
      </c>
      <c r="B118" s="107">
        <v>0.02</v>
      </c>
      <c r="C118" s="104" t="s">
        <v>242</v>
      </c>
    </row>
    <row r="119" spans="1:3" ht="15">
      <c r="A119" s="106" t="s">
        <v>243</v>
      </c>
      <c r="B119" s="107">
        <v>0.25</v>
      </c>
      <c r="C119" s="104" t="s">
        <v>244</v>
      </c>
    </row>
    <row r="120" spans="1:3" ht="15">
      <c r="A120" s="106" t="s">
        <v>291</v>
      </c>
      <c r="B120" s="107">
        <v>0.35</v>
      </c>
      <c r="C120" s="104" t="s">
        <v>292</v>
      </c>
    </row>
    <row r="121" spans="1:3" ht="15">
      <c r="A121" s="106" t="s">
        <v>247</v>
      </c>
      <c r="B121" s="107" t="b">
        <v>1</v>
      </c>
      <c r="C121" s="104" t="s">
        <v>293</v>
      </c>
    </row>
    <row r="122" spans="1:3" ht="15">
      <c r="A122" s="106" t="s">
        <v>249</v>
      </c>
      <c r="B122" s="107" t="b">
        <v>0</v>
      </c>
      <c r="C122" s="104" t="s">
        <v>250</v>
      </c>
    </row>
    <row r="123" spans="1:3" ht="15">
      <c r="A123" s="106" t="s">
        <v>294</v>
      </c>
      <c r="B123" s="107">
        <v>50</v>
      </c>
      <c r="C123" s="104" t="s">
        <v>295</v>
      </c>
    </row>
    <row r="124" spans="1:3" ht="15">
      <c r="A124" s="106" t="s">
        <v>296</v>
      </c>
      <c r="B124" s="107">
        <v>1</v>
      </c>
      <c r="C124" s="104" t="s">
        <v>297</v>
      </c>
    </row>
    <row r="125" spans="1:3" ht="15">
      <c r="A125" s="106" t="s">
        <v>298</v>
      </c>
      <c r="B125" s="107" t="b">
        <v>1</v>
      </c>
      <c r="C125" s="104" t="s">
        <v>299</v>
      </c>
    </row>
    <row r="126" spans="1:3" ht="15">
      <c r="A126" s="106" t="s">
        <v>253</v>
      </c>
      <c r="B126" s="107">
        <v>0</v>
      </c>
      <c r="C126" s="104" t="s">
        <v>254</v>
      </c>
    </row>
    <row r="127" ht="15">
      <c r="B127" s="107"/>
    </row>
    <row r="128" spans="1:2" ht="15">
      <c r="A128" s="105" t="s">
        <v>255</v>
      </c>
      <c r="B128" s="107">
        <f>CompoundOption(B115,B116,B117,B118,B119,B120,B121,B122,B123,B124,B125,B126)</f>
        <v>2.0420569385666143</v>
      </c>
    </row>
    <row r="131" ht="15">
      <c r="A131" s="103" t="s">
        <v>300</v>
      </c>
    </row>
    <row r="132" ht="15">
      <c r="A132" s="105" t="s">
        <v>301</v>
      </c>
    </row>
    <row r="133" ht="15">
      <c r="A133" s="105" t="s">
        <v>236</v>
      </c>
    </row>
    <row r="134" spans="1:3" ht="15">
      <c r="A134" s="106" t="s">
        <v>237</v>
      </c>
      <c r="B134" s="107">
        <v>50</v>
      </c>
      <c r="C134" s="104" t="s">
        <v>225</v>
      </c>
    </row>
    <row r="135" spans="1:3" ht="15">
      <c r="A135" s="106" t="s">
        <v>239</v>
      </c>
      <c r="B135" s="107">
        <v>0.05</v>
      </c>
      <c r="C135" s="104" t="s">
        <v>240</v>
      </c>
    </row>
    <row r="136" spans="1:3" ht="15">
      <c r="A136" s="106" t="s">
        <v>241</v>
      </c>
      <c r="B136" s="107">
        <v>0.02</v>
      </c>
      <c r="C136" s="104" t="s">
        <v>242</v>
      </c>
    </row>
    <row r="137" spans="1:3" ht="15">
      <c r="A137" s="106" t="s">
        <v>243</v>
      </c>
      <c r="B137" s="107">
        <v>0.25</v>
      </c>
      <c r="C137" s="104" t="s">
        <v>244</v>
      </c>
    </row>
    <row r="138" spans="1:3" ht="15">
      <c r="A138" s="106" t="s">
        <v>245</v>
      </c>
      <c r="B138" s="107">
        <v>1</v>
      </c>
      <c r="C138" s="104" t="s">
        <v>246</v>
      </c>
    </row>
    <row r="139" spans="1:3" ht="15">
      <c r="A139" s="106" t="s">
        <v>247</v>
      </c>
      <c r="B139" s="107" t="b">
        <v>1</v>
      </c>
      <c r="C139" s="104" t="s">
        <v>302</v>
      </c>
    </row>
    <row r="140" spans="1:3" ht="15">
      <c r="A140" s="106" t="s">
        <v>249</v>
      </c>
      <c r="B140" s="107" t="b">
        <v>0</v>
      </c>
      <c r="C140" s="104" t="s">
        <v>250</v>
      </c>
    </row>
    <row r="141" spans="1:3" ht="15">
      <c r="A141" s="106" t="s">
        <v>303</v>
      </c>
      <c r="B141" s="107" t="b">
        <v>1</v>
      </c>
      <c r="C141" s="104" t="s">
        <v>304</v>
      </c>
    </row>
    <row r="142" spans="1:3" ht="15">
      <c r="A142" s="106" t="s">
        <v>305</v>
      </c>
      <c r="B142" s="107">
        <v>50</v>
      </c>
      <c r="C142" s="104" t="s">
        <v>306</v>
      </c>
    </row>
    <row r="143" spans="1:3" ht="15">
      <c r="A143" s="106" t="s">
        <v>307</v>
      </c>
      <c r="B143" s="107">
        <v>50</v>
      </c>
      <c r="C143" s="104" t="s">
        <v>308</v>
      </c>
    </row>
    <row r="144" spans="1:3" ht="15">
      <c r="A144" s="106" t="s">
        <v>238</v>
      </c>
      <c r="B144" s="107">
        <v>55</v>
      </c>
      <c r="C144" s="104" t="s">
        <v>309</v>
      </c>
    </row>
    <row r="145" spans="1:3" ht="15">
      <c r="A145" s="106" t="s">
        <v>253</v>
      </c>
      <c r="B145" s="107">
        <v>1</v>
      </c>
      <c r="C145" s="104" t="s">
        <v>254</v>
      </c>
    </row>
    <row r="147" spans="1:2" ht="15">
      <c r="A147" s="105" t="s">
        <v>255</v>
      </c>
      <c r="B147" s="107">
        <f>LookbackOption(B134,B135,B136,B137,B138,B139,B140,B141,B142,B143,B144,B145)</f>
        <v>0.8768357672987465</v>
      </c>
    </row>
    <row r="149" ht="15">
      <c r="A149" s="103" t="s">
        <v>310</v>
      </c>
    </row>
    <row r="150" ht="15">
      <c r="A150" s="105" t="s">
        <v>311</v>
      </c>
    </row>
    <row r="151" ht="15">
      <c r="A151" s="105" t="s">
        <v>236</v>
      </c>
    </row>
    <row r="152" spans="1:3" ht="15">
      <c r="A152" s="106" t="s">
        <v>312</v>
      </c>
      <c r="B152" s="107">
        <v>0.2</v>
      </c>
      <c r="C152" s="104" t="s">
        <v>313</v>
      </c>
    </row>
    <row r="153" spans="1:3" ht="15">
      <c r="A153" s="106" t="s">
        <v>237</v>
      </c>
      <c r="B153" s="107">
        <v>50</v>
      </c>
      <c r="C153" s="104" t="s">
        <v>67</v>
      </c>
    </row>
    <row r="154" spans="1:3" ht="15">
      <c r="A154" s="106" t="s">
        <v>249</v>
      </c>
      <c r="B154" s="107" t="b">
        <v>0</v>
      </c>
      <c r="C154" s="104" t="s">
        <v>314</v>
      </c>
    </row>
    <row r="155" spans="1:3" ht="15">
      <c r="A155" s="106" t="s">
        <v>239</v>
      </c>
      <c r="B155" s="107">
        <v>0.05</v>
      </c>
      <c r="C155" s="104" t="s">
        <v>240</v>
      </c>
    </row>
    <row r="156" spans="1:3" ht="15">
      <c r="A156" s="106" t="s">
        <v>241</v>
      </c>
      <c r="B156" s="107">
        <v>0.02</v>
      </c>
      <c r="C156" s="104" t="s">
        <v>242</v>
      </c>
    </row>
    <row r="157" spans="1:3" ht="15">
      <c r="A157" s="106" t="s">
        <v>251</v>
      </c>
      <c r="B157" s="107"/>
      <c r="C157" s="104" t="s">
        <v>252</v>
      </c>
    </row>
    <row r="158" spans="1:3" ht="15">
      <c r="A158" s="106" t="s">
        <v>243</v>
      </c>
      <c r="B158" s="107">
        <v>0.25</v>
      </c>
      <c r="C158" s="104" t="s">
        <v>71</v>
      </c>
    </row>
    <row r="159" spans="1:3" ht="15">
      <c r="A159" s="106" t="s">
        <v>315</v>
      </c>
      <c r="B159" s="107"/>
      <c r="C159" s="104" t="s">
        <v>316</v>
      </c>
    </row>
    <row r="160" spans="1:3" ht="15">
      <c r="A160" s="106" t="s">
        <v>253</v>
      </c>
      <c r="B160" s="107">
        <v>0</v>
      </c>
      <c r="C160" s="104" t="s">
        <v>317</v>
      </c>
    </row>
    <row r="162" ht="15">
      <c r="A162" s="105" t="s">
        <v>318</v>
      </c>
    </row>
    <row r="163" spans="2:10" ht="15.75" thickBot="1">
      <c r="B163" s="107" t="s">
        <v>319</v>
      </c>
      <c r="C163" s="107"/>
      <c r="D163" s="107"/>
      <c r="E163" s="107"/>
      <c r="F163" s="107"/>
      <c r="G163" s="107"/>
      <c r="H163" s="107"/>
      <c r="I163" s="107"/>
      <c r="J163" s="107"/>
    </row>
    <row r="164" spans="1:10" ht="15">
      <c r="A164" s="106" t="s">
        <v>320</v>
      </c>
      <c r="B164" s="112">
        <v>0</v>
      </c>
      <c r="C164" s="114" t="s">
        <v>321</v>
      </c>
      <c r="D164" s="114"/>
      <c r="E164" s="114"/>
      <c r="F164" s="114"/>
      <c r="G164" s="114"/>
      <c r="H164" s="114"/>
      <c r="I164" s="113"/>
      <c r="J164" s="107"/>
    </row>
    <row r="165" spans="1:10" ht="15">
      <c r="A165" s="106" t="s">
        <v>322</v>
      </c>
      <c r="B165" s="108">
        <v>1</v>
      </c>
      <c r="C165" s="115" t="s">
        <v>321</v>
      </c>
      <c r="D165" s="115" t="s">
        <v>238</v>
      </c>
      <c r="E165" s="115" t="s">
        <v>245</v>
      </c>
      <c r="F165" s="115" t="s">
        <v>247</v>
      </c>
      <c r="G165" s="115"/>
      <c r="H165" s="115"/>
      <c r="I165" s="109"/>
      <c r="J165" s="107"/>
    </row>
    <row r="166" spans="1:10" ht="15">
      <c r="A166" s="106" t="s">
        <v>323</v>
      </c>
      <c r="B166" s="108">
        <v>2</v>
      </c>
      <c r="C166" s="115" t="s">
        <v>321</v>
      </c>
      <c r="D166" s="115" t="s">
        <v>238</v>
      </c>
      <c r="E166" s="115" t="s">
        <v>245</v>
      </c>
      <c r="F166" s="115" t="s">
        <v>247</v>
      </c>
      <c r="G166" s="115" t="s">
        <v>263</v>
      </c>
      <c r="H166" s="115" t="s">
        <v>261</v>
      </c>
      <c r="I166" s="109"/>
      <c r="J166" s="107"/>
    </row>
    <row r="167" spans="1:10" ht="15">
      <c r="A167" s="106" t="s">
        <v>324</v>
      </c>
      <c r="B167" s="108">
        <v>3</v>
      </c>
      <c r="C167" s="115" t="s">
        <v>321</v>
      </c>
      <c r="D167" s="115" t="s">
        <v>238</v>
      </c>
      <c r="E167" s="115" t="s">
        <v>245</v>
      </c>
      <c r="F167" s="115" t="s">
        <v>247</v>
      </c>
      <c r="G167" s="115" t="s">
        <v>267</v>
      </c>
      <c r="H167" s="115"/>
      <c r="I167" s="109"/>
      <c r="J167" s="107"/>
    </row>
    <row r="168" spans="1:10" ht="15">
      <c r="A168" s="106" t="s">
        <v>325</v>
      </c>
      <c r="B168" s="108">
        <v>4</v>
      </c>
      <c r="C168" s="115" t="s">
        <v>321</v>
      </c>
      <c r="D168" s="115" t="s">
        <v>238</v>
      </c>
      <c r="E168" s="115" t="s">
        <v>245</v>
      </c>
      <c r="F168" s="115" t="s">
        <v>247</v>
      </c>
      <c r="G168" s="115" t="s">
        <v>272</v>
      </c>
      <c r="H168" s="115" t="s">
        <v>273</v>
      </c>
      <c r="I168" s="109" t="s">
        <v>275</v>
      </c>
      <c r="J168" s="107"/>
    </row>
    <row r="169" spans="1:10" ht="15">
      <c r="A169" s="106" t="s">
        <v>326</v>
      </c>
      <c r="B169" s="108">
        <v>5</v>
      </c>
      <c r="C169" s="115" t="s">
        <v>321</v>
      </c>
      <c r="D169" s="115" t="s">
        <v>238</v>
      </c>
      <c r="E169" s="115" t="s">
        <v>245</v>
      </c>
      <c r="F169" s="115" t="s">
        <v>247</v>
      </c>
      <c r="G169" s="115" t="s">
        <v>279</v>
      </c>
      <c r="H169" s="115" t="s">
        <v>281</v>
      </c>
      <c r="I169" s="109"/>
      <c r="J169" s="107"/>
    </row>
    <row r="170" spans="1:10" ht="15">
      <c r="A170" s="106" t="s">
        <v>327</v>
      </c>
      <c r="B170" s="108">
        <v>6</v>
      </c>
      <c r="C170" s="115" t="s">
        <v>321</v>
      </c>
      <c r="D170" s="115" t="s">
        <v>238</v>
      </c>
      <c r="E170" s="115" t="s">
        <v>245</v>
      </c>
      <c r="F170" s="115" t="s">
        <v>285</v>
      </c>
      <c r="G170" s="115"/>
      <c r="H170" s="115"/>
      <c r="I170" s="109"/>
      <c r="J170" s="107"/>
    </row>
    <row r="171" spans="1:10" ht="15">
      <c r="A171" s="106" t="s">
        <v>328</v>
      </c>
      <c r="B171" s="108">
        <v>7</v>
      </c>
      <c r="C171" s="115" t="s">
        <v>321</v>
      </c>
      <c r="D171" s="115" t="s">
        <v>289</v>
      </c>
      <c r="E171" s="115" t="s">
        <v>291</v>
      </c>
      <c r="F171" s="115" t="s">
        <v>247</v>
      </c>
      <c r="G171" s="115" t="s">
        <v>294</v>
      </c>
      <c r="H171" s="115" t="s">
        <v>296</v>
      </c>
      <c r="I171" s="109" t="s">
        <v>329</v>
      </c>
      <c r="J171" s="107"/>
    </row>
    <row r="172" spans="1:10" ht="15.75" thickBot="1">
      <c r="A172" s="106" t="s">
        <v>330</v>
      </c>
      <c r="B172" s="110">
        <v>8</v>
      </c>
      <c r="C172" s="116" t="s">
        <v>321</v>
      </c>
      <c r="D172" s="116" t="s">
        <v>238</v>
      </c>
      <c r="E172" s="116" t="s">
        <v>245</v>
      </c>
      <c r="F172" s="116" t="s">
        <v>247</v>
      </c>
      <c r="G172" s="116" t="s">
        <v>303</v>
      </c>
      <c r="H172" s="116" t="s">
        <v>305</v>
      </c>
      <c r="I172" s="111" t="s">
        <v>307</v>
      </c>
      <c r="J172" s="107"/>
    </row>
    <row r="173" spans="2:10" ht="15">
      <c r="B173" s="107"/>
      <c r="C173" s="107"/>
      <c r="D173" s="107"/>
      <c r="E173" s="107"/>
      <c r="F173" s="107"/>
      <c r="G173" s="107"/>
      <c r="H173" s="107"/>
      <c r="I173" s="107"/>
      <c r="J173" s="107"/>
    </row>
    <row r="174" ht="15.75" thickBot="1">
      <c r="A174" s="105" t="s">
        <v>331</v>
      </c>
    </row>
    <row r="175" spans="2:9" ht="15.75" thickBot="1">
      <c r="B175" s="112" t="s">
        <v>319</v>
      </c>
      <c r="C175" s="114" t="s">
        <v>321</v>
      </c>
      <c r="D175" s="114"/>
      <c r="E175" s="114"/>
      <c r="F175" s="114"/>
      <c r="G175" s="114"/>
      <c r="H175" s="114"/>
      <c r="I175" s="113"/>
    </row>
    <row r="176" spans="1:12" ht="15.75" thickBot="1">
      <c r="A176" s="106" t="s">
        <v>320</v>
      </c>
      <c r="B176" s="108">
        <v>0</v>
      </c>
      <c r="C176" s="115">
        <v>-2</v>
      </c>
      <c r="D176" s="115"/>
      <c r="E176" s="115"/>
      <c r="F176" s="115"/>
      <c r="G176" s="115"/>
      <c r="H176" s="115"/>
      <c r="I176" s="109"/>
      <c r="K176" s="197" t="s">
        <v>257</v>
      </c>
      <c r="L176" s="198"/>
    </row>
    <row r="177" spans="1:12" ht="15">
      <c r="A177" s="106" t="s">
        <v>322</v>
      </c>
      <c r="B177" s="108">
        <v>1</v>
      </c>
      <c r="C177" s="115">
        <v>50</v>
      </c>
      <c r="D177" s="115">
        <v>55</v>
      </c>
      <c r="E177" s="115">
        <v>0.5</v>
      </c>
      <c r="F177" s="115" t="b">
        <v>1</v>
      </c>
      <c r="G177" s="115"/>
      <c r="H177" s="115"/>
      <c r="I177" s="109"/>
      <c r="K177" s="108">
        <v>0.5</v>
      </c>
      <c r="L177" s="109">
        <v>1</v>
      </c>
    </row>
    <row r="178" spans="1:12" ht="15.75" thickBot="1">
      <c r="A178" s="106" t="s">
        <v>322</v>
      </c>
      <c r="B178" s="108">
        <v>1</v>
      </c>
      <c r="C178" s="115">
        <v>50</v>
      </c>
      <c r="D178" s="115">
        <v>48</v>
      </c>
      <c r="E178" s="115">
        <v>0.75</v>
      </c>
      <c r="F178" s="115" t="b">
        <v>1</v>
      </c>
      <c r="G178" s="115"/>
      <c r="H178" s="115"/>
      <c r="I178" s="109"/>
      <c r="K178" s="110">
        <v>0.75</v>
      </c>
      <c r="L178" s="111">
        <v>1</v>
      </c>
    </row>
    <row r="179" spans="1:9" ht="15.75" thickBot="1">
      <c r="A179" s="106" t="s">
        <v>323</v>
      </c>
      <c r="B179" s="110">
        <v>2</v>
      </c>
      <c r="C179" s="116">
        <v>100</v>
      </c>
      <c r="D179" s="116">
        <v>50</v>
      </c>
      <c r="E179" s="116">
        <v>0.5</v>
      </c>
      <c r="F179" s="116" t="b">
        <v>0</v>
      </c>
      <c r="G179" s="116">
        <v>50</v>
      </c>
      <c r="H179" s="116" t="b">
        <v>1</v>
      </c>
      <c r="I179" s="111"/>
    </row>
    <row r="181" spans="1:2" ht="15">
      <c r="A181" s="105" t="s">
        <v>332</v>
      </c>
      <c r="B181" s="117">
        <f>EPortfolio(B152,B153,B154,B155,B156,$K$30:$L$31,B158,B176:H179,B160)</f>
        <v>463.1306792399041</v>
      </c>
    </row>
  </sheetData>
  <sheetProtection/>
  <mergeCells count="3">
    <mergeCell ref="F17:G17"/>
    <mergeCell ref="F55:G55"/>
    <mergeCell ref="K176:L17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102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6.140625" style="34" bestFit="1" customWidth="1"/>
    <col min="2" max="2" width="12.28125" style="34" customWidth="1"/>
    <col min="3" max="3" width="13.140625" style="34" bestFit="1" customWidth="1"/>
    <col min="4" max="4" width="9.140625" style="34" customWidth="1"/>
    <col min="5" max="5" width="13.140625" style="34" bestFit="1" customWidth="1"/>
    <col min="6" max="6" width="7.57421875" style="34" bestFit="1" customWidth="1"/>
    <col min="7" max="7" width="13.140625" style="34" bestFit="1" customWidth="1"/>
    <col min="8" max="9" width="9.140625" style="34" customWidth="1"/>
    <col min="10" max="10" width="10.28125" style="34" customWidth="1"/>
    <col min="11" max="11" width="11.421875" style="34" customWidth="1"/>
    <col min="12" max="12" width="9.8515625" style="34" bestFit="1" customWidth="1"/>
    <col min="13" max="14" width="9.140625" style="34" customWidth="1"/>
    <col min="15" max="15" width="9.57421875" style="34" bestFit="1" customWidth="1"/>
    <col min="16" max="16384" width="9.140625" style="34" customWidth="1"/>
  </cols>
  <sheetData>
    <row r="1" spans="1:10" s="118" customFormat="1" ht="15.75">
      <c r="A1" s="199" t="s">
        <v>333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118" customFormat="1" ht="15.75">
      <c r="A2" s="199" t="s">
        <v>355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118" customFormat="1" ht="15.75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ht="13.5" thickBot="1"/>
    <row r="5" spans="2:3" ht="12.75">
      <c r="B5" s="119" t="s">
        <v>334</v>
      </c>
      <c r="C5" s="120">
        <v>0</v>
      </c>
    </row>
    <row r="6" spans="2:9" ht="13.5" thickBot="1">
      <c r="B6" s="121" t="s">
        <v>237</v>
      </c>
      <c r="C6" s="122">
        <v>49</v>
      </c>
      <c r="G6" s="34" t="s">
        <v>315</v>
      </c>
      <c r="H6" s="123" t="s">
        <v>319</v>
      </c>
      <c r="I6" s="123" t="s">
        <v>321</v>
      </c>
    </row>
    <row r="7" spans="2:12" ht="12.75">
      <c r="B7" s="121" t="s">
        <v>249</v>
      </c>
      <c r="C7" s="122" t="b">
        <v>0</v>
      </c>
      <c r="G7" s="34" t="s">
        <v>320</v>
      </c>
      <c r="H7" s="119">
        <v>0</v>
      </c>
      <c r="I7" s="124">
        <v>1000</v>
      </c>
      <c r="J7" s="124"/>
      <c r="K7" s="124"/>
      <c r="L7" s="120"/>
    </row>
    <row r="8" spans="2:12" ht="12.75">
      <c r="B8" s="121" t="s">
        <v>239</v>
      </c>
      <c r="C8" s="125">
        <v>0.05</v>
      </c>
      <c r="G8" s="34" t="s">
        <v>322</v>
      </c>
      <c r="H8" s="121">
        <v>1</v>
      </c>
      <c r="I8" s="126">
        <v>100</v>
      </c>
      <c r="J8" s="126">
        <v>55</v>
      </c>
      <c r="K8" s="126">
        <v>0.5</v>
      </c>
      <c r="L8" s="122" t="b">
        <v>1</v>
      </c>
    </row>
    <row r="9" spans="2:12" ht="12.75">
      <c r="B9" s="121" t="s">
        <v>241</v>
      </c>
      <c r="C9" s="125">
        <v>0</v>
      </c>
      <c r="G9" s="34" t="s">
        <v>322</v>
      </c>
      <c r="H9" s="121">
        <v>1</v>
      </c>
      <c r="I9" s="126">
        <v>500</v>
      </c>
      <c r="J9" s="126">
        <v>50</v>
      </c>
      <c r="K9" s="126">
        <v>0.25</v>
      </c>
      <c r="L9" s="122" t="b">
        <v>1</v>
      </c>
    </row>
    <row r="10" spans="2:12" ht="13.5" thickBot="1">
      <c r="B10" s="127" t="s">
        <v>71</v>
      </c>
      <c r="C10" s="128">
        <v>0.3</v>
      </c>
      <c r="G10" s="34" t="s">
        <v>322</v>
      </c>
      <c r="H10" s="127">
        <v>1</v>
      </c>
      <c r="I10" s="129">
        <v>1600</v>
      </c>
      <c r="J10" s="129">
        <v>50</v>
      </c>
      <c r="K10" s="129">
        <v>0.2</v>
      </c>
      <c r="L10" s="130" t="b">
        <v>0</v>
      </c>
    </row>
    <row r="11" spans="2:3" ht="12.75">
      <c r="B11" s="131" t="s">
        <v>335</v>
      </c>
      <c r="C11" s="132">
        <f>C10*SQRT(1/252)</f>
        <v>0.01889822365046136</v>
      </c>
    </row>
    <row r="12" spans="2:3" ht="13.5" thickBot="1">
      <c r="B12" s="131"/>
      <c r="C12" s="132"/>
    </row>
    <row r="13" spans="2:3" ht="13.5" thickBot="1">
      <c r="B13" s="200" t="s">
        <v>315</v>
      </c>
      <c r="C13" s="201"/>
    </row>
    <row r="14" spans="2:6" ht="12.75">
      <c r="B14" s="121" t="s">
        <v>336</v>
      </c>
      <c r="C14" s="133">
        <f>EPortfolio($C$5,$C$6,$C$7,$C$8,$C$9,,$C$10,$H$7:$L$10,0)</f>
        <v>55246.48720151691</v>
      </c>
      <c r="F14" s="134"/>
    </row>
    <row r="15" spans="2:3" ht="12.75">
      <c r="B15" s="121" t="s">
        <v>74</v>
      </c>
      <c r="C15" s="135">
        <f>EPortfolio($C$5,$C$6,$C$7,$C$8,$C$9,,$C$10,$H$7:$L$10,1)</f>
        <v>486.41985327534576</v>
      </c>
    </row>
    <row r="16" spans="2:3" ht="13.5" thickBot="1">
      <c r="B16" s="127" t="s">
        <v>75</v>
      </c>
      <c r="C16" s="136">
        <f>EPortfolio($C$5,$C$6,$C$7,$C$8,$C$9,,$C$10,$H$7:$L$10,2)</f>
        <v>127.86837573246868</v>
      </c>
    </row>
    <row r="17" ht="13.5" thickBot="1"/>
    <row r="18" spans="1:3" ht="13.5" thickBot="1">
      <c r="A18" s="137" t="s">
        <v>337</v>
      </c>
      <c r="B18" s="138" t="s">
        <v>338</v>
      </c>
      <c r="C18" s="139">
        <f>NORMSINV(0.01)*C6*C11*C15</f>
        <v>-1047.8594030073205</v>
      </c>
    </row>
    <row r="19" ht="13.5" thickBot="1"/>
    <row r="20" spans="1:9" ht="12.75">
      <c r="A20" s="140" t="s">
        <v>339</v>
      </c>
      <c r="B20" s="141" t="s">
        <v>340</v>
      </c>
      <c r="C20" s="142">
        <f>0.5*C6^2*C16*C11^2</f>
        <v>54.82356609529593</v>
      </c>
      <c r="D20" s="141"/>
      <c r="E20" s="124" t="s">
        <v>341</v>
      </c>
      <c r="F20" s="142">
        <f>C20</f>
        <v>54.82356609529593</v>
      </c>
      <c r="G20" s="141"/>
      <c r="H20" s="124" t="s">
        <v>342</v>
      </c>
      <c r="I20" s="143">
        <f>NORMSINV(0.01)</f>
        <v>-2.3263478740408408</v>
      </c>
    </row>
    <row r="21" spans="1:9" ht="12.75">
      <c r="A21" s="144"/>
      <c r="B21" s="145" t="s">
        <v>343</v>
      </c>
      <c r="C21" s="146">
        <f>C6^2*C15^2*C11^2+0.75*C6^4*C16^2*C11^4</f>
        <v>211905.03486201647</v>
      </c>
      <c r="D21" s="145"/>
      <c r="E21" s="147" t="s">
        <v>344</v>
      </c>
      <c r="F21" s="146">
        <f>SQRT(C21-C20^2)</f>
        <v>457.05515144521803</v>
      </c>
      <c r="G21" s="145"/>
      <c r="H21" s="126" t="s">
        <v>345</v>
      </c>
      <c r="I21" s="148">
        <f>I20+(I20^2-1)*F22/6</f>
        <v>-1.8022191575895934</v>
      </c>
    </row>
    <row r="22" spans="1:9" ht="12.75">
      <c r="A22" s="144"/>
      <c r="B22" s="145" t="s">
        <v>346</v>
      </c>
      <c r="C22" s="126">
        <f>4.5*C6^4*C15^2*C16*C11^4+(15/8)*C6^6*C16^3*C11^6</f>
        <v>102579159.24501537</v>
      </c>
      <c r="D22" s="145"/>
      <c r="E22" s="126" t="s">
        <v>347</v>
      </c>
      <c r="F22" s="149">
        <f>(C22-3*C21*F20+2*F20^3)/F21^3</f>
        <v>0.7127940951107385</v>
      </c>
      <c r="G22" s="145"/>
      <c r="H22" s="145"/>
      <c r="I22" s="150"/>
    </row>
    <row r="23" spans="1:9" ht="12.75">
      <c r="A23" s="144"/>
      <c r="B23" s="145"/>
      <c r="C23" s="145"/>
      <c r="D23" s="145"/>
      <c r="E23" s="145"/>
      <c r="F23" s="145"/>
      <c r="G23" s="145"/>
      <c r="H23" s="145"/>
      <c r="I23" s="150"/>
    </row>
    <row r="24" spans="1:9" ht="13.5" thickBot="1">
      <c r="A24" s="151"/>
      <c r="B24" s="152" t="s">
        <v>338</v>
      </c>
      <c r="C24" s="153">
        <f>F20+I21*F21</f>
        <v>-768.8899839142889</v>
      </c>
      <c r="D24" s="154"/>
      <c r="E24" s="154"/>
      <c r="F24" s="154"/>
      <c r="G24" s="154"/>
      <c r="H24" s="154"/>
      <c r="I24" s="155"/>
    </row>
    <row r="26" spans="1:5" ht="15.75" thickBot="1">
      <c r="A26" s="156" t="s">
        <v>348</v>
      </c>
      <c r="B26" s="34" t="s">
        <v>349</v>
      </c>
      <c r="D26" s="104"/>
      <c r="E26" s="104"/>
    </row>
    <row r="27" spans="1:8" ht="15">
      <c r="A27" s="157"/>
      <c r="B27" s="158" t="s">
        <v>338</v>
      </c>
      <c r="C27" s="159">
        <f>PERCENTILE($C$30:$C$1028,0.01)-$C$14</f>
        <v>-783.707508934509</v>
      </c>
      <c r="D27" s="104"/>
      <c r="E27" s="104"/>
      <c r="H27" s="160"/>
    </row>
    <row r="28" spans="1:5" ht="15">
      <c r="A28" s="144"/>
      <c r="B28" s="145"/>
      <c r="C28" s="161"/>
      <c r="D28" s="104"/>
      <c r="E28" s="104"/>
    </row>
    <row r="29" spans="1:10" ht="12.75">
      <c r="A29" s="121" t="s">
        <v>350</v>
      </c>
      <c r="B29" s="126" t="s">
        <v>237</v>
      </c>
      <c r="C29" s="162" t="s">
        <v>351</v>
      </c>
      <c r="D29" s="145"/>
      <c r="J29" s="123"/>
    </row>
    <row r="30" spans="1:8" ht="12.75">
      <c r="A30" s="163">
        <v>0.001</v>
      </c>
      <c r="B30" s="164">
        <f aca="true" t="shared" si="0" ref="B30:B93">$C$6+NORMSINV($A30)*$C$11*$C$6</f>
        <v>46.138404838561826</v>
      </c>
      <c r="C30" s="165">
        <f aca="true" t="shared" si="1" ref="C30:C93">EPortfolio($C$5+1/252,$B30,$C$7,$C$8,$C$9,,$C$10,$H$7:$L$10,0)</f>
        <v>54342.529524963225</v>
      </c>
      <c r="D30" s="145"/>
      <c r="H30" s="134"/>
    </row>
    <row r="31" spans="1:8" ht="12.75">
      <c r="A31" s="163">
        <v>0.002</v>
      </c>
      <c r="B31" s="164">
        <f t="shared" si="0"/>
        <v>46.33478493186627</v>
      </c>
      <c r="C31" s="165">
        <f t="shared" si="1"/>
        <v>54367.73476878523</v>
      </c>
      <c r="D31" s="145"/>
      <c r="H31" s="134"/>
    </row>
    <row r="32" spans="1:8" ht="12.75">
      <c r="A32" s="163">
        <v>0.003</v>
      </c>
      <c r="B32" s="164">
        <f t="shared" si="0"/>
        <v>46.45551882892901</v>
      </c>
      <c r="C32" s="165">
        <f t="shared" si="1"/>
        <v>54385.621555699676</v>
      </c>
      <c r="D32" s="145"/>
      <c r="H32" s="134"/>
    </row>
    <row r="33" spans="1:8" ht="12.75">
      <c r="A33" s="163">
        <v>0.004</v>
      </c>
      <c r="B33" s="164">
        <f t="shared" si="0"/>
        <v>46.54414899004778</v>
      </c>
      <c r="C33" s="165">
        <f t="shared" si="1"/>
        <v>54399.91766550078</v>
      </c>
      <c r="D33" s="145"/>
      <c r="H33" s="134"/>
    </row>
    <row r="34" spans="1:8" ht="12.75">
      <c r="A34" s="163">
        <v>0.005</v>
      </c>
      <c r="B34" s="164">
        <f t="shared" si="0"/>
        <v>46.61474868506992</v>
      </c>
      <c r="C34" s="165">
        <f t="shared" si="1"/>
        <v>54412.01420704949</v>
      </c>
      <c r="D34" s="145"/>
      <c r="H34" s="134"/>
    </row>
    <row r="35" spans="1:8" ht="12.75">
      <c r="A35" s="163">
        <v>0.006</v>
      </c>
      <c r="B35" s="164">
        <f t="shared" si="0"/>
        <v>46.67372179777808</v>
      </c>
      <c r="C35" s="165">
        <f t="shared" si="1"/>
        <v>54422.60176563737</v>
      </c>
      <c r="D35" s="145"/>
      <c r="H35" s="134"/>
    </row>
    <row r="36" spans="1:8" ht="12.75">
      <c r="A36" s="163">
        <v>0.007</v>
      </c>
      <c r="B36" s="164">
        <f t="shared" si="0"/>
        <v>46.72454225730653</v>
      </c>
      <c r="C36" s="165">
        <f t="shared" si="1"/>
        <v>54432.079214543024</v>
      </c>
      <c r="D36" s="145"/>
      <c r="H36" s="134"/>
    </row>
    <row r="37" spans="1:8" ht="12.75">
      <c r="A37" s="163">
        <v>0.008</v>
      </c>
      <c r="B37" s="164">
        <f t="shared" si="0"/>
        <v>46.7693129877452</v>
      </c>
      <c r="C37" s="165">
        <f t="shared" si="1"/>
        <v>54440.700123939445</v>
      </c>
      <c r="D37" s="145"/>
      <c r="H37" s="134"/>
    </row>
    <row r="38" spans="1:8" ht="12.75">
      <c r="A38" s="163">
        <v>0.009000000000000001</v>
      </c>
      <c r="B38" s="164">
        <f t="shared" si="0"/>
        <v>46.809406958779725</v>
      </c>
      <c r="C38" s="165">
        <f t="shared" si="1"/>
        <v>54448.63681272104</v>
      </c>
      <c r="D38" s="145"/>
      <c r="H38" s="134"/>
    </row>
    <row r="39" spans="1:8" ht="12.75">
      <c r="A39" s="163">
        <v>0.01</v>
      </c>
      <c r="B39" s="164">
        <f t="shared" si="0"/>
        <v>46.845771721792445</v>
      </c>
      <c r="C39" s="165">
        <f t="shared" si="1"/>
        <v>54456.01229878337</v>
      </c>
      <c r="D39" s="145"/>
      <c r="H39" s="134"/>
    </row>
    <row r="40" spans="1:8" ht="12.75">
      <c r="A40" s="163">
        <v>0.011</v>
      </c>
      <c r="B40" s="164">
        <f t="shared" si="0"/>
        <v>46.87908966452047</v>
      </c>
      <c r="C40" s="165">
        <f t="shared" si="1"/>
        <v>54462.91780265993</v>
      </c>
      <c r="D40" s="145"/>
      <c r="H40" s="134"/>
    </row>
    <row r="41" spans="1:8" ht="12.75">
      <c r="A41" s="163">
        <v>0.012</v>
      </c>
      <c r="B41" s="164">
        <f t="shared" si="0"/>
        <v>46.909869069755416</v>
      </c>
      <c r="C41" s="165">
        <f t="shared" si="1"/>
        <v>54469.42303953855</v>
      </c>
      <c r="D41" s="145"/>
      <c r="H41" s="134"/>
    </row>
    <row r="42" spans="1:8" ht="12.75">
      <c r="A42" s="163">
        <v>0.013000000000000001</v>
      </c>
      <c r="B42" s="164">
        <f t="shared" si="0"/>
        <v>46.93849905241758</v>
      </c>
      <c r="C42" s="165">
        <f t="shared" si="1"/>
        <v>54475.58261595595</v>
      </c>
      <c r="D42" s="145"/>
      <c r="H42" s="134"/>
    </row>
    <row r="43" spans="1:8" ht="12.75">
      <c r="A43" s="163">
        <v>0.014000000000000002</v>
      </c>
      <c r="B43" s="164">
        <f t="shared" si="0"/>
        <v>46.96528434087615</v>
      </c>
      <c r="C43" s="165">
        <f t="shared" si="1"/>
        <v>54481.440187355074</v>
      </c>
      <c r="D43" s="145"/>
      <c r="H43" s="134"/>
    </row>
    <row r="44" spans="1:8" ht="12.75">
      <c r="A44" s="163">
        <v>0.015</v>
      </c>
      <c r="B44" s="164">
        <f t="shared" si="0"/>
        <v>46.99046818843195</v>
      </c>
      <c r="C44" s="165">
        <f t="shared" si="1"/>
        <v>54487.0312618728</v>
      </c>
      <c r="D44" s="145"/>
      <c r="H44" s="134"/>
    </row>
    <row r="45" spans="1:8" ht="12.75">
      <c r="A45" s="163">
        <v>0.016</v>
      </c>
      <c r="B45" s="164">
        <f t="shared" si="0"/>
        <v>47.014247975891585</v>
      </c>
      <c r="C45" s="165">
        <f t="shared" si="1"/>
        <v>54492.385150668124</v>
      </c>
      <c r="D45" s="145"/>
      <c r="H45" s="134"/>
    </row>
    <row r="46" spans="1:8" ht="12.75">
      <c r="A46" s="163">
        <v>0.017</v>
      </c>
      <c r="B46" s="164">
        <f t="shared" si="0"/>
        <v>47.03678614155982</v>
      </c>
      <c r="C46" s="165">
        <f t="shared" si="1"/>
        <v>54497.526360874814</v>
      </c>
      <c r="D46" s="145"/>
      <c r="H46" s="134"/>
    </row>
    <row r="47" spans="1:8" ht="12.75">
      <c r="A47" s="163">
        <v>0.018000000000000002</v>
      </c>
      <c r="B47" s="164">
        <f t="shared" si="0"/>
        <v>47.0582180267784</v>
      </c>
      <c r="C47" s="165">
        <f t="shared" si="1"/>
        <v>54502.475613389055</v>
      </c>
      <c r="D47" s="145"/>
      <c r="H47" s="134"/>
    </row>
    <row r="48" spans="1:8" ht="12.75">
      <c r="A48" s="163">
        <v>0.019000000000000003</v>
      </c>
      <c r="B48" s="164">
        <f t="shared" si="0"/>
        <v>47.078657628173616</v>
      </c>
      <c r="C48" s="165">
        <f t="shared" si="1"/>
        <v>54507.250601451895</v>
      </c>
      <c r="D48" s="145"/>
      <c r="H48" s="134"/>
    </row>
    <row r="49" spans="1:8" ht="12.75">
      <c r="A49" s="163">
        <v>0.02</v>
      </c>
      <c r="B49" s="164">
        <f t="shared" si="0"/>
        <v>47.09820189448443</v>
      </c>
      <c r="C49" s="165">
        <f t="shared" si="1"/>
        <v>54511.86656600473</v>
      </c>
      <c r="D49" s="145"/>
      <c r="H49" s="134"/>
    </row>
    <row r="50" spans="1:8" ht="12.75">
      <c r="A50" s="163">
        <v>0.021</v>
      </c>
      <c r="B50" s="164">
        <f t="shared" si="0"/>
        <v>47.11693398966312</v>
      </c>
      <c r="C50" s="165">
        <f t="shared" si="1"/>
        <v>54516.33673888847</v>
      </c>
      <c r="D50" s="145"/>
      <c r="H50" s="134"/>
    </row>
    <row r="51" spans="1:8" ht="12.75">
      <c r="A51" s="163">
        <v>0.022000000000000002</v>
      </c>
      <c r="B51" s="164">
        <f t="shared" si="0"/>
        <v>47.134925807724954</v>
      </c>
      <c r="C51" s="165">
        <f t="shared" si="1"/>
        <v>54520.672688998915</v>
      </c>
      <c r="D51" s="145"/>
      <c r="H51" s="134"/>
    </row>
    <row r="52" spans="1:8" ht="12.75">
      <c r="A52" s="163">
        <v>0.023</v>
      </c>
      <c r="B52" s="164">
        <f t="shared" si="0"/>
        <v>47.15223993673689</v>
      </c>
      <c r="C52" s="165">
        <f t="shared" si="1"/>
        <v>54524.884596029755</v>
      </c>
      <c r="D52" s="145"/>
      <c r="H52" s="134"/>
    </row>
    <row r="53" spans="1:8" ht="12.75">
      <c r="A53" s="163">
        <v>0.024</v>
      </c>
      <c r="B53" s="164">
        <f t="shared" si="0"/>
        <v>47.16893121103796</v>
      </c>
      <c r="C53" s="165">
        <f t="shared" si="1"/>
        <v>54528.98146939682</v>
      </c>
      <c r="D53" s="145"/>
      <c r="H53" s="134"/>
    </row>
    <row r="54" spans="1:8" ht="12.75">
      <c r="A54" s="163">
        <v>0.025</v>
      </c>
      <c r="B54" s="164">
        <f t="shared" si="0"/>
        <v>47.18504795139232</v>
      </c>
      <c r="C54" s="165">
        <f t="shared" si="1"/>
        <v>54532.97132511718</v>
      </c>
      <c r="D54" s="145"/>
      <c r="H54" s="134"/>
    </row>
    <row r="55" spans="1:8" ht="12.75">
      <c r="A55" s="163">
        <v>0.026000000000000002</v>
      </c>
      <c r="B55" s="164">
        <f t="shared" si="0"/>
        <v>47.20063296565397</v>
      </c>
      <c r="C55" s="165">
        <f t="shared" si="1"/>
        <v>54536.861330053405</v>
      </c>
      <c r="D55" s="145"/>
      <c r="H55" s="134"/>
    </row>
    <row r="56" spans="1:8" ht="12.75">
      <c r="A56" s="163">
        <v>0.027000000000000003</v>
      </c>
      <c r="B56" s="164">
        <f t="shared" si="0"/>
        <v>47.21572436352793</v>
      </c>
      <c r="C56" s="165">
        <f t="shared" si="1"/>
        <v>54540.65792055218</v>
      </c>
      <c r="D56" s="145"/>
      <c r="H56" s="134"/>
    </row>
    <row r="57" spans="1:8" ht="12.75">
      <c r="A57" s="163">
        <v>0.028</v>
      </c>
      <c r="B57" s="164">
        <f t="shared" si="0"/>
        <v>47.230356225502014</v>
      </c>
      <c r="C57" s="165">
        <f t="shared" si="1"/>
        <v>54544.36690078945</v>
      </c>
      <c r="D57" s="145"/>
      <c r="H57" s="134"/>
    </row>
    <row r="58" spans="1:8" ht="12.75">
      <c r="A58" s="163">
        <v>0.029</v>
      </c>
      <c r="B58" s="164">
        <f t="shared" si="0"/>
        <v>47.24455915627566</v>
      </c>
      <c r="C58" s="165">
        <f t="shared" si="1"/>
        <v>54547.99352488573</v>
      </c>
      <c r="D58" s="145"/>
      <c r="H58" s="134"/>
    </row>
    <row r="59" spans="1:8" ht="12.75">
      <c r="A59" s="163">
        <v>0.03</v>
      </c>
      <c r="B59" s="164">
        <f t="shared" si="0"/>
        <v>47.258360745887174</v>
      </c>
      <c r="C59" s="165">
        <f t="shared" si="1"/>
        <v>54551.542565929674</v>
      </c>
      <c r="D59" s="145"/>
      <c r="H59" s="134"/>
    </row>
    <row r="60" spans="1:8" ht="12.75">
      <c r="A60" s="163">
        <v>0.031</v>
      </c>
      <c r="B60" s="164">
        <f t="shared" si="0"/>
        <v>47.27178595646901</v>
      </c>
      <c r="C60" s="165">
        <f t="shared" si="1"/>
        <v>54555.01837435895</v>
      </c>
      <c r="D60" s="145"/>
      <c r="H60" s="134"/>
    </row>
    <row r="61" spans="1:8" ht="12.75">
      <c r="A61" s="163">
        <v>0.032</v>
      </c>
      <c r="B61" s="164">
        <f t="shared" si="0"/>
        <v>47.284857448617025</v>
      </c>
      <c r="C61" s="165">
        <f t="shared" si="1"/>
        <v>54558.42492762549</v>
      </c>
      <c r="D61" s="145"/>
      <c r="H61" s="134"/>
    </row>
    <row r="62" spans="1:8" ht="12.75">
      <c r="A62" s="163">
        <v>0.033</v>
      </c>
      <c r="B62" s="164">
        <f t="shared" si="0"/>
        <v>47.29759585837843</v>
      </c>
      <c r="C62" s="165">
        <f t="shared" si="1"/>
        <v>54561.76587267479</v>
      </c>
      <c r="D62" s="145"/>
      <c r="H62" s="134"/>
    </row>
    <row r="63" spans="1:8" ht="12.75">
      <c r="A63" s="163">
        <v>0.034</v>
      </c>
      <c r="B63" s="164">
        <f t="shared" si="0"/>
        <v>47.31002003358753</v>
      </c>
      <c r="C63" s="165">
        <f t="shared" si="1"/>
        <v>54565.04456246287</v>
      </c>
      <c r="D63" s="145"/>
      <c r="H63" s="134"/>
    </row>
    <row r="64" spans="1:8" ht="12.75">
      <c r="A64" s="163">
        <v>0.035</v>
      </c>
      <c r="B64" s="164">
        <f t="shared" si="0"/>
        <v>47.32214723652631</v>
      </c>
      <c r="C64" s="165">
        <f t="shared" si="1"/>
        <v>54568.264087496034</v>
      </c>
      <c r="D64" s="145"/>
      <c r="H64" s="134"/>
    </row>
    <row r="65" spans="1:8" ht="12.75">
      <c r="A65" s="163">
        <v>0.036000000000000004</v>
      </c>
      <c r="B65" s="164">
        <f t="shared" si="0"/>
        <v>47.33399331852569</v>
      </c>
      <c r="C65" s="165">
        <f t="shared" si="1"/>
        <v>54571.427303193734</v>
      </c>
      <c r="D65" s="145"/>
      <c r="H65" s="134"/>
    </row>
    <row r="66" spans="1:8" ht="12.75">
      <c r="A66" s="163">
        <v>0.037000000000000005</v>
      </c>
      <c r="B66" s="164">
        <f t="shared" si="0"/>
        <v>47.345572871058046</v>
      </c>
      <c r="C66" s="165">
        <f t="shared" si="1"/>
        <v>54574.536853726415</v>
      </c>
      <c r="D66" s="145"/>
      <c r="H66" s="134"/>
    </row>
    <row r="67" spans="1:8" ht="12.75">
      <c r="A67" s="163">
        <v>0.038</v>
      </c>
      <c r="B67" s="164">
        <f t="shared" si="0"/>
        <v>47.35689935703144</v>
      </c>
      <c r="C67" s="165">
        <f t="shared" si="1"/>
        <v>54577.595192864916</v>
      </c>
      <c r="D67" s="145"/>
      <c r="H67" s="134"/>
    </row>
    <row r="68" spans="1:8" ht="12.75">
      <c r="A68" s="163">
        <v>0.039</v>
      </c>
      <c r="B68" s="164">
        <f t="shared" si="0"/>
        <v>47.367985225328894</v>
      </c>
      <c r="C68" s="165">
        <f t="shared" si="1"/>
        <v>54580.60460228378</v>
      </c>
      <c r="D68" s="145"/>
      <c r="H68" s="134"/>
    </row>
    <row r="69" spans="1:8" ht="12.75">
      <c r="A69" s="163">
        <v>0.04</v>
      </c>
      <c r="B69" s="164">
        <f t="shared" si="0"/>
        <v>47.37884201110272</v>
      </c>
      <c r="C69" s="165">
        <f t="shared" si="1"/>
        <v>54583.56720768601</v>
      </c>
      <c r="D69" s="145"/>
      <c r="H69" s="134"/>
    </row>
    <row r="70" spans="1:8" ht="12.75">
      <c r="A70" s="163">
        <v>0.041</v>
      </c>
      <c r="B70" s="164">
        <f t="shared" si="0"/>
        <v>47.38948042390488</v>
      </c>
      <c r="C70" s="165">
        <f t="shared" si="1"/>
        <v>54586.48499305608</v>
      </c>
      <c r="D70" s="145"/>
      <c r="H70" s="134"/>
    </row>
    <row r="71" spans="1:8" ht="12.75">
      <c r="A71" s="163">
        <v>0.042</v>
      </c>
      <c r="B71" s="164">
        <f t="shared" si="0"/>
        <v>47.39991042538757</v>
      </c>
      <c r="C71" s="165">
        <f t="shared" si="1"/>
        <v>54589.35981329849</v>
      </c>
      <c r="D71" s="145"/>
      <c r="H71" s="134"/>
    </row>
    <row r="72" spans="1:8" ht="12.75">
      <c r="A72" s="163">
        <v>0.043000000000000003</v>
      </c>
      <c r="B72" s="164">
        <f t="shared" si="0"/>
        <v>47.410141298025664</v>
      </c>
      <c r="C72" s="165">
        <f t="shared" si="1"/>
        <v>54592.19340547815</v>
      </c>
      <c r="D72" s="145"/>
      <c r="H72" s="134"/>
    </row>
    <row r="73" spans="1:8" ht="12.75">
      <c r="A73" s="163">
        <v>0.044000000000000004</v>
      </c>
      <c r="B73" s="164">
        <f t="shared" si="0"/>
        <v>47.42018170608178</v>
      </c>
      <c r="C73" s="165">
        <f t="shared" si="1"/>
        <v>54594.98739884596</v>
      </c>
      <c r="D73" s="145"/>
      <c r="H73" s="134"/>
    </row>
    <row r="74" spans="1:8" ht="12.75">
      <c r="A74" s="163">
        <v>0.045</v>
      </c>
      <c r="B74" s="164">
        <f t="shared" si="0"/>
        <v>47.43003974984506</v>
      </c>
      <c r="C74" s="165">
        <f t="shared" si="1"/>
        <v>54597.743323805604</v>
      </c>
      <c r="D74" s="145"/>
      <c r="H74" s="134"/>
    </row>
    <row r="75" spans="1:8" ht="12.75">
      <c r="A75" s="163">
        <v>0.046</v>
      </c>
      <c r="B75" s="164">
        <f t="shared" si="0"/>
        <v>47.439723014017844</v>
      </c>
      <c r="C75" s="165">
        <f t="shared" si="1"/>
        <v>54600.46261995353</v>
      </c>
      <c r="D75" s="145"/>
      <c r="H75" s="134"/>
    </row>
    <row r="76" spans="1:8" ht="12.75">
      <c r="A76" s="163">
        <v>0.047</v>
      </c>
      <c r="B76" s="164">
        <f t="shared" si="0"/>
        <v>47.44923861099452</v>
      </c>
      <c r="C76" s="165">
        <f t="shared" si="1"/>
        <v>54603.14664330636</v>
      </c>
      <c r="D76" s="145"/>
      <c r="H76" s="134"/>
    </row>
    <row r="77" spans="1:8" ht="12.75">
      <c r="A77" s="163">
        <v>0.048</v>
      </c>
      <c r="B77" s="164">
        <f t="shared" si="0"/>
        <v>47.45859321966822</v>
      </c>
      <c r="C77" s="165">
        <f t="shared" si="1"/>
        <v>54605.79667281296</v>
      </c>
      <c r="D77" s="145"/>
      <c r="H77" s="134"/>
    </row>
    <row r="78" spans="1:8" ht="12.75">
      <c r="A78" s="163">
        <v>0.049</v>
      </c>
      <c r="B78" s="164">
        <f t="shared" si="0"/>
        <v>47.4677931203107</v>
      </c>
      <c r="C78" s="165">
        <f t="shared" si="1"/>
        <v>54608.413916235375</v>
      </c>
      <c r="D78" s="145"/>
      <c r="H78" s="134"/>
    </row>
    <row r="79" spans="1:8" ht="12.75">
      <c r="A79" s="163">
        <v>0.05</v>
      </c>
      <c r="B79" s="164">
        <f t="shared" si="0"/>
        <v>47.47684422599433</v>
      </c>
      <c r="C79" s="165">
        <f t="shared" si="1"/>
        <v>54610.99951547127</v>
      </c>
      <c r="D79" s="145"/>
      <c r="H79" s="134"/>
    </row>
    <row r="80" spans="1:8" ht="12.75">
      <c r="A80" s="163">
        <v>0.051000000000000004</v>
      </c>
      <c r="B80" s="164">
        <f t="shared" si="0"/>
        <v>47.485752110960824</v>
      </c>
      <c r="C80" s="165">
        <f t="shared" si="1"/>
        <v>54613.55455138079</v>
      </c>
      <c r="D80" s="145"/>
      <c r="H80" s="134"/>
    </row>
    <row r="81" spans="1:8" ht="12.75">
      <c r="A81" s="163">
        <v>0.052000000000000005</v>
      </c>
      <c r="B81" s="164">
        <f t="shared" si="0"/>
        <v>47.494522036287414</v>
      </c>
      <c r="C81" s="165">
        <f t="shared" si="1"/>
        <v>54616.08004817309</v>
      </c>
      <c r="D81" s="145"/>
      <c r="H81" s="134"/>
    </row>
    <row r="82" spans="1:8" ht="12.75">
      <c r="A82" s="163">
        <v>0.053000000000000005</v>
      </c>
      <c r="B82" s="164">
        <f t="shared" si="0"/>
        <v>47.50315897315448</v>
      </c>
      <c r="C82" s="165">
        <f t="shared" si="1"/>
        <v>54618.5769773999</v>
      </c>
      <c r="D82" s="145"/>
      <c r="H82" s="134"/>
    </row>
    <row r="83" spans="1:8" ht="12.75">
      <c r="A83" s="163">
        <v>0.054</v>
      </c>
      <c r="B83" s="164">
        <f t="shared" si="0"/>
        <v>47.51166762397972</v>
      </c>
      <c r="C83" s="165">
        <f t="shared" si="1"/>
        <v>54621.04626159828</v>
      </c>
      <c r="D83" s="145"/>
      <c r="H83" s="134"/>
    </row>
    <row r="84" spans="1:8" ht="12.75">
      <c r="A84" s="163">
        <v>0.055</v>
      </c>
      <c r="B84" s="164">
        <f t="shared" si="0"/>
        <v>47.52005244165017</v>
      </c>
      <c r="C84" s="165">
        <f t="shared" si="1"/>
        <v>54623.4887776192</v>
      </c>
      <c r="D84" s="145"/>
      <c r="H84" s="134"/>
    </row>
    <row r="85" spans="1:8" ht="12.75">
      <c r="A85" s="163">
        <v>0.056</v>
      </c>
      <c r="B85" s="164">
        <f t="shared" si="0"/>
        <v>47.5283176470546</v>
      </c>
      <c r="C85" s="165">
        <f t="shared" si="1"/>
        <v>54625.9053596741</v>
      </c>
      <c r="D85" s="145"/>
      <c r="H85" s="134"/>
    </row>
    <row r="86" spans="1:8" ht="12.75">
      <c r="A86" s="163">
        <v>0.057</v>
      </c>
      <c r="B86" s="164">
        <f t="shared" si="0"/>
        <v>47.53646724509403</v>
      </c>
      <c r="C86" s="165">
        <f t="shared" si="1"/>
        <v>54628.296802128076</v>
      </c>
      <c r="D86" s="145"/>
      <c r="H86" s="134"/>
    </row>
    <row r="87" spans="1:8" ht="12.75">
      <c r="A87" s="163">
        <v>0.058</v>
      </c>
      <c r="B87" s="164">
        <f t="shared" si="0"/>
        <v>47.54450503932675</v>
      </c>
      <c r="C87" s="165">
        <f t="shared" si="1"/>
        <v>54630.66386206474</v>
      </c>
      <c r="D87" s="145"/>
      <c r="H87" s="134"/>
    </row>
    <row r="88" spans="1:8" ht="12.75">
      <c r="A88" s="163">
        <v>0.059000000000000004</v>
      </c>
      <c r="B88" s="164">
        <f t="shared" si="0"/>
        <v>47.55243464538573</v>
      </c>
      <c r="C88" s="165">
        <f t="shared" si="1"/>
        <v>54633.00726164489</v>
      </c>
      <c r="D88" s="145"/>
      <c r="H88" s="134"/>
    </row>
    <row r="89" spans="1:8" ht="12.75">
      <c r="A89" s="163">
        <v>0.06</v>
      </c>
      <c r="B89" s="164">
        <f t="shared" si="0"/>
        <v>47.56025950329037</v>
      </c>
      <c r="C89" s="165">
        <f t="shared" si="1"/>
        <v>54635.32769027881</v>
      </c>
      <c r="D89" s="145"/>
      <c r="H89" s="134"/>
    </row>
    <row r="90" spans="1:8" ht="12.75">
      <c r="A90" s="163">
        <v>0.061</v>
      </c>
      <c r="B90" s="164">
        <f t="shared" si="0"/>
        <v>47.567982888760426</v>
      </c>
      <c r="C90" s="165">
        <f t="shared" si="1"/>
        <v>54637.62580663001</v>
      </c>
      <c r="D90" s="145"/>
      <c r="H90" s="134"/>
    </row>
    <row r="91" spans="1:8" ht="12.75">
      <c r="A91" s="163">
        <v>0.062</v>
      </c>
      <c r="B91" s="164">
        <f t="shared" si="0"/>
        <v>47.575607923628105</v>
      </c>
      <c r="C91" s="165">
        <f t="shared" si="1"/>
        <v>54639.902240465555</v>
      </c>
      <c r="D91" s="145"/>
      <c r="H91" s="134"/>
    </row>
    <row r="92" spans="1:8" ht="12.75">
      <c r="A92" s="163">
        <v>0.063</v>
      </c>
      <c r="B92" s="164">
        <f t="shared" si="0"/>
        <v>47.58313758543342</v>
      </c>
      <c r="C92" s="165">
        <f t="shared" si="1"/>
        <v>54642.157594367345</v>
      </c>
      <c r="D92" s="145"/>
      <c r="H92" s="134"/>
    </row>
    <row r="93" spans="1:8" ht="12.75">
      <c r="A93" s="163">
        <v>0.064</v>
      </c>
      <c r="B93" s="164">
        <f t="shared" si="0"/>
        <v>47.59057471627884</v>
      </c>
      <c r="C93" s="165">
        <f t="shared" si="1"/>
        <v>54644.39244531674</v>
      </c>
      <c r="D93" s="145"/>
      <c r="H93" s="134"/>
    </row>
    <row r="94" spans="1:8" ht="12.75">
      <c r="A94" s="163">
        <v>0.065</v>
      </c>
      <c r="B94" s="164">
        <f aca="true" t="shared" si="2" ref="B94:B157">$C$6+NORMSINV($A94)*$C$11*$C$6</f>
        <v>47.597922031011066</v>
      </c>
      <c r="C94" s="165">
        <f aca="true" t="shared" si="3" ref="C94:C157">EPortfolio($C$5+1/252,$B94,$C$7,$C$8,$C$9,,$C$10,$H$7:$L$10,0)</f>
        <v>54646.60734616361</v>
      </c>
      <c r="D94" s="145"/>
      <c r="H94" s="134"/>
    </row>
    <row r="95" spans="1:8" ht="12.75">
      <c r="A95" s="163">
        <v>0.066</v>
      </c>
      <c r="B95" s="164">
        <f t="shared" si="2"/>
        <v>47.60518212479056</v>
      </c>
      <c r="C95" s="165">
        <f t="shared" si="3"/>
        <v>54648.80282699012</v>
      </c>
      <c r="D95" s="145"/>
      <c r="H95" s="134"/>
    </row>
    <row r="96" spans="1:8" ht="12.75">
      <c r="A96" s="163">
        <v>0.067</v>
      </c>
      <c r="B96" s="164">
        <f t="shared" si="2"/>
        <v>47.6123574801032</v>
      </c>
      <c r="C96" s="165">
        <f t="shared" si="3"/>
        <v>54650.97939637782</v>
      </c>
      <c r="D96" s="145"/>
      <c r="H96" s="134"/>
    </row>
    <row r="97" spans="1:8" ht="12.75">
      <c r="A97" s="163">
        <v>0.068</v>
      </c>
      <c r="B97" s="164">
        <f t="shared" si="2"/>
        <v>47.61945047326289</v>
      </c>
      <c r="C97" s="165">
        <f t="shared" si="3"/>
        <v>54653.13754258685</v>
      </c>
      <c r="D97" s="145"/>
      <c r="H97" s="134"/>
    </row>
    <row r="98" spans="1:8" ht="12.75">
      <c r="A98" s="163">
        <v>0.069</v>
      </c>
      <c r="B98" s="164">
        <f t="shared" si="2"/>
        <v>47.626463380449</v>
      </c>
      <c r="C98" s="165">
        <f t="shared" si="3"/>
        <v>54655.277734653966</v>
      </c>
      <c r="D98" s="145"/>
      <c r="H98" s="134"/>
    </row>
    <row r="99" spans="1:8" ht="12.75">
      <c r="A99" s="163">
        <v>0.07</v>
      </c>
      <c r="B99" s="164">
        <f t="shared" si="2"/>
        <v>47.63339838331816</v>
      </c>
      <c r="C99" s="165">
        <f t="shared" si="3"/>
        <v>54657.400423416446</v>
      </c>
      <c r="D99" s="145"/>
      <c r="H99" s="134"/>
    </row>
    <row r="100" spans="1:8" ht="12.75">
      <c r="A100" s="163">
        <v>0.07100000000000001</v>
      </c>
      <c r="B100" s="164">
        <f t="shared" si="2"/>
        <v>47.64025757422594</v>
      </c>
      <c r="C100" s="165">
        <f t="shared" si="3"/>
        <v>54659.50604246755</v>
      </c>
      <c r="D100" s="145"/>
      <c r="H100" s="134"/>
    </row>
    <row r="101" spans="1:8" ht="12.75">
      <c r="A101" s="163">
        <v>0.07200000000000001</v>
      </c>
      <c r="B101" s="164">
        <f t="shared" si="2"/>
        <v>47.64704296109086</v>
      </c>
      <c r="C101" s="165">
        <f t="shared" si="3"/>
        <v>54661.59500904936</v>
      </c>
      <c r="D101" s="145"/>
      <c r="H101" s="134"/>
    </row>
    <row r="102" spans="1:8" ht="12.75">
      <c r="A102" s="163">
        <v>0.07300000000000001</v>
      </c>
      <c r="B102" s="164">
        <f t="shared" si="2"/>
        <v>47.653756471929626</v>
      </c>
      <c r="C102" s="165">
        <f t="shared" si="3"/>
        <v>54663.667724887695</v>
      </c>
      <c r="D102" s="145"/>
      <c r="H102" s="134"/>
    </row>
    <row r="103" spans="1:8" ht="12.75">
      <c r="A103" s="163">
        <v>0.074</v>
      </c>
      <c r="B103" s="164">
        <f t="shared" si="2"/>
        <v>47.66039995909012</v>
      </c>
      <c r="C103" s="165">
        <f t="shared" si="3"/>
        <v>54665.724576973465</v>
      </c>
      <c r="D103" s="145"/>
      <c r="H103" s="134"/>
    </row>
    <row r="104" spans="1:8" ht="12.75">
      <c r="A104" s="163">
        <v>0.075</v>
      </c>
      <c r="B104" s="164">
        <f t="shared" si="2"/>
        <v>47.66697520320604</v>
      </c>
      <c r="C104" s="165">
        <f t="shared" si="3"/>
        <v>54667.76593829492</v>
      </c>
      <c r="D104" s="145"/>
      <c r="H104" s="134"/>
    </row>
    <row r="105" spans="1:8" ht="12.75">
      <c r="A105" s="163">
        <v>0.076</v>
      </c>
      <c r="B105" s="164">
        <f t="shared" si="2"/>
        <v>47.67348391689503</v>
      </c>
      <c r="C105" s="165">
        <f t="shared" si="3"/>
        <v>54669.79216852421</v>
      </c>
      <c r="D105" s="145"/>
      <c r="H105" s="134"/>
    </row>
    <row r="106" spans="1:8" ht="12.75">
      <c r="A106" s="163">
        <v>0.077</v>
      </c>
      <c r="B106" s="164">
        <f t="shared" si="2"/>
        <v>47.67992774821993</v>
      </c>
      <c r="C106" s="165">
        <f t="shared" si="3"/>
        <v>54671.80361466179</v>
      </c>
      <c r="D106" s="145"/>
      <c r="H106" s="134"/>
    </row>
    <row r="107" spans="1:8" ht="12.75">
      <c r="A107" s="163">
        <v>0.078</v>
      </c>
      <c r="B107" s="164">
        <f t="shared" si="2"/>
        <v>47.686308283931396</v>
      </c>
      <c r="C107" s="165">
        <f t="shared" si="3"/>
        <v>54673.80061164162</v>
      </c>
      <c r="D107" s="145"/>
      <c r="H107" s="134"/>
    </row>
    <row r="108" spans="1:8" ht="12.75">
      <c r="A108" s="163">
        <v>0.079</v>
      </c>
      <c r="B108" s="164">
        <f t="shared" si="2"/>
        <v>47.692627052508136</v>
      </c>
      <c r="C108" s="165">
        <f t="shared" si="3"/>
        <v>54675.78348290047</v>
      </c>
      <c r="D108" s="145"/>
      <c r="H108" s="134"/>
    </row>
    <row r="109" spans="1:8" ht="12.75">
      <c r="A109" s="163">
        <v>0.08</v>
      </c>
      <c r="B109" s="164">
        <f t="shared" si="2"/>
        <v>47.69888552700992</v>
      </c>
      <c r="C109" s="165">
        <f t="shared" si="3"/>
        <v>54677.75254091302</v>
      </c>
      <c r="D109" s="145"/>
      <c r="H109" s="134"/>
    </row>
    <row r="110" spans="1:4" ht="12.75">
      <c r="A110" s="163">
        <v>0.081</v>
      </c>
      <c r="B110" s="164">
        <f t="shared" si="2"/>
        <v>47.70508512775703</v>
      </c>
      <c r="C110" s="165">
        <f t="shared" si="3"/>
        <v>54679.70808769624</v>
      </c>
      <c r="D110" s="145"/>
    </row>
    <row r="111" spans="1:4" ht="12.75">
      <c r="A111" s="163">
        <v>0.082</v>
      </c>
      <c r="B111" s="164">
        <f t="shared" si="2"/>
        <v>47.71122722484866</v>
      </c>
      <c r="C111" s="165">
        <f t="shared" si="3"/>
        <v>54681.650415284355</v>
      </c>
      <c r="D111" s="145"/>
    </row>
    <row r="112" spans="1:4" ht="12.75">
      <c r="A112" s="163">
        <v>0.083</v>
      </c>
      <c r="B112" s="164">
        <f t="shared" si="2"/>
        <v>47.71731314053195</v>
      </c>
      <c r="C112" s="165">
        <f t="shared" si="3"/>
        <v>54683.57980617686</v>
      </c>
      <c r="D112" s="145"/>
    </row>
    <row r="113" spans="1:4" ht="12.75">
      <c r="A113" s="163">
        <v>0.084</v>
      </c>
      <c r="B113" s="164">
        <f t="shared" si="2"/>
        <v>47.723344151432016</v>
      </c>
      <c r="C113" s="165">
        <f t="shared" si="3"/>
        <v>54685.4965337613</v>
      </c>
      <c r="D113" s="145"/>
    </row>
    <row r="114" spans="1:4" ht="12.75">
      <c r="A114" s="163">
        <v>0.085</v>
      </c>
      <c r="B114" s="164">
        <f t="shared" si="2"/>
        <v>47.72932149065283</v>
      </c>
      <c r="C114" s="165">
        <f t="shared" si="3"/>
        <v>54687.400862712566</v>
      </c>
      <c r="D114" s="145"/>
    </row>
    <row r="115" spans="1:4" ht="12.75">
      <c r="A115" s="163">
        <v>0.08600000000000001</v>
      </c>
      <c r="B115" s="164">
        <f t="shared" si="2"/>
        <v>47.73524634975779</v>
      </c>
      <c r="C115" s="165">
        <f t="shared" si="3"/>
        <v>54689.29304937005</v>
      </c>
      <c r="D115" s="145"/>
    </row>
    <row r="116" spans="1:4" ht="12.75">
      <c r="A116" s="163">
        <v>0.08700000000000001</v>
      </c>
      <c r="B116" s="164">
        <f t="shared" si="2"/>
        <v>47.74111988063816</v>
      </c>
      <c r="C116" s="165">
        <f t="shared" si="3"/>
        <v>54691.173342094706</v>
      </c>
      <c r="D116" s="145"/>
    </row>
    <row r="117" spans="1:4" ht="12.75">
      <c r="A117" s="163">
        <v>0.08800000000000001</v>
      </c>
      <c r="B117" s="164">
        <f t="shared" si="2"/>
        <v>47.74694319727706</v>
      </c>
      <c r="C117" s="165">
        <f t="shared" si="3"/>
        <v>54693.04198160644</v>
      </c>
      <c r="D117" s="145"/>
    </row>
    <row r="118" spans="1:4" ht="12.75">
      <c r="A118" s="163">
        <v>0.089</v>
      </c>
      <c r="B118" s="164">
        <f t="shared" si="2"/>
        <v>47.75271737741582</v>
      </c>
      <c r="C118" s="165">
        <f t="shared" si="3"/>
        <v>54694.89920130393</v>
      </c>
      <c r="D118" s="145"/>
    </row>
    <row r="119" spans="1:4" ht="12.75">
      <c r="A119" s="163">
        <v>0.09</v>
      </c>
      <c r="B119" s="164">
        <f t="shared" si="2"/>
        <v>47.75844346412918</v>
      </c>
      <c r="C119" s="165">
        <f t="shared" si="3"/>
        <v>54696.74522756752</v>
      </c>
      <c r="D119" s="145"/>
    </row>
    <row r="120" spans="1:4" ht="12.75">
      <c r="A120" s="163">
        <v>0.091</v>
      </c>
      <c r="B120" s="164">
        <f t="shared" si="2"/>
        <v>47.76412246731543</v>
      </c>
      <c r="C120" s="165">
        <f t="shared" si="3"/>
        <v>54698.580280046415</v>
      </c>
      <c r="D120" s="145"/>
    </row>
    <row r="121" spans="1:4" ht="12.75">
      <c r="A121" s="163">
        <v>0.092</v>
      </c>
      <c r="B121" s="164">
        <f t="shared" si="2"/>
        <v>47.769755365106676</v>
      </c>
      <c r="C121" s="165">
        <f t="shared" si="3"/>
        <v>54700.404571930965</v>
      </c>
      <c r="D121" s="145"/>
    </row>
    <row r="122" spans="1:4" ht="12.75">
      <c r="A122" s="163">
        <v>0.093</v>
      </c>
      <c r="B122" s="164">
        <f t="shared" si="2"/>
        <v>47.77534310520462</v>
      </c>
      <c r="C122" s="165">
        <f t="shared" si="3"/>
        <v>54702.21831021146</v>
      </c>
      <c r="D122" s="145"/>
    </row>
    <row r="123" spans="1:4" ht="12.75">
      <c r="A123" s="163">
        <v>0.094</v>
      </c>
      <c r="B123" s="164">
        <f t="shared" si="2"/>
        <v>47.78088660614633</v>
      </c>
      <c r="C123" s="165">
        <f t="shared" si="3"/>
        <v>54704.021695923555</v>
      </c>
      <c r="D123" s="145"/>
    </row>
    <row r="124" spans="1:4" ht="12.75">
      <c r="A124" s="163">
        <v>0.095</v>
      </c>
      <c r="B124" s="164">
        <f t="shared" si="2"/>
        <v>47.786386758504555</v>
      </c>
      <c r="C124" s="165">
        <f t="shared" si="3"/>
        <v>54705.814924381644</v>
      </c>
      <c r="D124" s="145"/>
    </row>
    <row r="125" spans="1:4" ht="12.75">
      <c r="A125" s="163">
        <v>0.096</v>
      </c>
      <c r="B125" s="164">
        <f t="shared" si="2"/>
        <v>47.791844426026444</v>
      </c>
      <c r="C125" s="165">
        <f t="shared" si="3"/>
        <v>54707.59818540079</v>
      </c>
      <c r="D125" s="145"/>
    </row>
    <row r="126" spans="1:4" ht="12.75">
      <c r="A126" s="163">
        <v>0.097</v>
      </c>
      <c r="B126" s="164">
        <f t="shared" si="2"/>
        <v>47.79726044671458</v>
      </c>
      <c r="C126" s="165">
        <f t="shared" si="3"/>
        <v>54709.371663507714</v>
      </c>
      <c r="D126" s="145"/>
    </row>
    <row r="127" spans="1:4" ht="12.75">
      <c r="A127" s="163">
        <v>0.098</v>
      </c>
      <c r="B127" s="164">
        <f t="shared" si="2"/>
        <v>47.802635633853775</v>
      </c>
      <c r="C127" s="165">
        <f t="shared" si="3"/>
        <v>54711.13553814178</v>
      </c>
      <c r="D127" s="145"/>
    </row>
    <row r="128" spans="1:4" ht="12.75">
      <c r="A128" s="163">
        <v>0.099</v>
      </c>
      <c r="B128" s="164">
        <f t="shared" si="2"/>
        <v>47.80797077698681</v>
      </c>
      <c r="C128" s="165">
        <f t="shared" si="3"/>
        <v>54712.889983846224</v>
      </c>
      <c r="D128" s="145"/>
    </row>
    <row r="129" spans="1:4" ht="12.75">
      <c r="A129" s="163">
        <v>0.1</v>
      </c>
      <c r="B129" s="164">
        <f t="shared" si="2"/>
        <v>47.81326664284222</v>
      </c>
      <c r="C129" s="165">
        <f t="shared" si="3"/>
        <v>54714.63517045041</v>
      </c>
      <c r="D129" s="145"/>
    </row>
    <row r="130" spans="1:4" ht="12.75">
      <c r="A130" s="163">
        <v>0.101</v>
      </c>
      <c r="B130" s="164">
        <f t="shared" si="2"/>
        <v>47.81852397621696</v>
      </c>
      <c r="C130" s="165">
        <f t="shared" si="3"/>
        <v>54716.37126324362</v>
      </c>
      <c r="D130" s="145"/>
    </row>
    <row r="131" spans="1:4" ht="12.75">
      <c r="A131" s="163">
        <v>0.10200000000000001</v>
      </c>
      <c r="B131" s="164">
        <f t="shared" si="2"/>
        <v>47.82374350081641</v>
      </c>
      <c r="C131" s="165">
        <f t="shared" si="3"/>
        <v>54718.098423140735</v>
      </c>
      <c r="D131" s="145"/>
    </row>
    <row r="132" spans="1:4" ht="12.75">
      <c r="A132" s="163">
        <v>0.10300000000000001</v>
      </c>
      <c r="B132" s="164">
        <f t="shared" si="2"/>
        <v>47.82892592005447</v>
      </c>
      <c r="C132" s="165">
        <f t="shared" si="3"/>
        <v>54719.81680684028</v>
      </c>
      <c r="D132" s="145"/>
    </row>
    <row r="133" spans="1:4" ht="12.75">
      <c r="A133" s="163">
        <v>0.10400000000000001</v>
      </c>
      <c r="B133" s="164">
        <f t="shared" si="2"/>
        <v>47.83407191781563</v>
      </c>
      <c r="C133" s="165">
        <f t="shared" si="3"/>
        <v>54721.526566975415</v>
      </c>
      <c r="D133" s="145"/>
    </row>
    <row r="134" spans="1:4" ht="12.75">
      <c r="A134" s="163">
        <v>0.105</v>
      </c>
      <c r="B134" s="164">
        <f t="shared" si="2"/>
        <v>47.83918215918154</v>
      </c>
      <c r="C134" s="165">
        <f t="shared" si="3"/>
        <v>54723.227852257965</v>
      </c>
      <c r="D134" s="145"/>
    </row>
    <row r="135" spans="1:4" ht="12.75">
      <c r="A135" s="163">
        <v>0.106</v>
      </c>
      <c r="B135" s="164">
        <f t="shared" si="2"/>
        <v>47.844257291123824</v>
      </c>
      <c r="C135" s="165">
        <f t="shared" si="3"/>
        <v>54724.92080761625</v>
      </c>
      <c r="D135" s="145"/>
    </row>
    <row r="136" spans="1:4" ht="12.75">
      <c r="A136" s="163">
        <v>0.107</v>
      </c>
      <c r="B136" s="164">
        <f t="shared" si="2"/>
        <v>47.84929794316504</v>
      </c>
      <c r="C136" s="165">
        <f t="shared" si="3"/>
        <v>54726.60557432652</v>
      </c>
      <c r="D136" s="145"/>
    </row>
    <row r="137" spans="1:4" ht="12.75">
      <c r="A137" s="163">
        <v>0.108</v>
      </c>
      <c r="B137" s="164">
        <f t="shared" si="2"/>
        <v>47.854304728009666</v>
      </c>
      <c r="C137" s="165">
        <f t="shared" si="3"/>
        <v>54728.28229013908</v>
      </c>
      <c r="D137" s="145"/>
    </row>
    <row r="138" spans="1:4" ht="12.75">
      <c r="A138" s="163">
        <v>0.109</v>
      </c>
      <c r="B138" s="164">
        <f t="shared" si="2"/>
        <v>47.85927824214654</v>
      </c>
      <c r="C138" s="165">
        <f t="shared" si="3"/>
        <v>54729.95108939846</v>
      </c>
      <c r="D138" s="145"/>
    </row>
    <row r="139" spans="1:4" ht="12.75">
      <c r="A139" s="163">
        <v>0.11</v>
      </c>
      <c r="B139" s="164">
        <f t="shared" si="2"/>
        <v>47.86421906642444</v>
      </c>
      <c r="C139" s="165">
        <f t="shared" si="3"/>
        <v>54731.61210315878</v>
      </c>
      <c r="D139" s="145"/>
    </row>
    <row r="140" spans="1:4" ht="12.75">
      <c r="A140" s="163">
        <v>0.111</v>
      </c>
      <c r="B140" s="164">
        <f t="shared" si="2"/>
        <v>47.86912776660225</v>
      </c>
      <c r="C140" s="165">
        <f t="shared" si="3"/>
        <v>54733.265459294125</v>
      </c>
      <c r="D140" s="145"/>
    </row>
    <row r="141" spans="1:4" ht="12.75">
      <c r="A141" s="163">
        <v>0.112</v>
      </c>
      <c r="B141" s="164">
        <f t="shared" si="2"/>
        <v>47.87400489387485</v>
      </c>
      <c r="C141" s="165">
        <f t="shared" si="3"/>
        <v>54734.91128260415</v>
      </c>
      <c r="D141" s="145"/>
    </row>
    <row r="142" spans="1:4" ht="12.75">
      <c r="A142" s="163">
        <v>0.113</v>
      </c>
      <c r="B142" s="164">
        <f t="shared" si="2"/>
        <v>47.8788509853763</v>
      </c>
      <c r="C142" s="165">
        <f t="shared" si="3"/>
        <v>54736.54969491543</v>
      </c>
      <c r="D142" s="145"/>
    </row>
    <row r="143" spans="1:4" ht="12.75">
      <c r="A143" s="163">
        <v>0.114</v>
      </c>
      <c r="B143" s="164">
        <f t="shared" si="2"/>
        <v>47.883666564661276</v>
      </c>
      <c r="C143" s="165">
        <f t="shared" si="3"/>
        <v>54738.180815178464</v>
      </c>
      <c r="D143" s="145"/>
    </row>
    <row r="144" spans="1:4" ht="12.75">
      <c r="A144" s="163">
        <v>0.115</v>
      </c>
      <c r="B144" s="164">
        <f t="shared" si="2"/>
        <v>47.8884521421659</v>
      </c>
      <c r="C144" s="165">
        <f t="shared" si="3"/>
        <v>54739.80475956088</v>
      </c>
      <c r="D144" s="145"/>
    </row>
    <row r="145" spans="1:4" ht="12.75">
      <c r="A145" s="163">
        <v>0.116</v>
      </c>
      <c r="B145" s="164">
        <f t="shared" si="2"/>
        <v>47.89320821564918</v>
      </c>
      <c r="C145" s="165">
        <f t="shared" si="3"/>
        <v>54741.42164153661</v>
      </c>
      <c r="D145" s="145"/>
    </row>
    <row r="146" spans="1:4" ht="12.75">
      <c r="A146" s="163">
        <v>0.117</v>
      </c>
      <c r="B146" s="164">
        <f t="shared" si="2"/>
        <v>47.89793527061582</v>
      </c>
      <c r="C146" s="165">
        <f t="shared" si="3"/>
        <v>54743.031571971725</v>
      </c>
      <c r="D146" s="145"/>
    </row>
    <row r="147" spans="1:4" ht="12.75">
      <c r="A147" s="163">
        <v>0.11800000000000001</v>
      </c>
      <c r="B147" s="164">
        <f t="shared" si="2"/>
        <v>47.90263378072148</v>
      </c>
      <c r="C147" s="165">
        <f t="shared" si="3"/>
        <v>54744.6346592066</v>
      </c>
      <c r="D147" s="145"/>
    </row>
    <row r="148" spans="1:4" ht="12.75">
      <c r="A148" s="163">
        <v>0.11900000000000001</v>
      </c>
      <c r="B148" s="164">
        <f t="shared" si="2"/>
        <v>47.90730420816132</v>
      </c>
      <c r="C148" s="165">
        <f t="shared" si="3"/>
        <v>54746.23100913497</v>
      </c>
      <c r="D148" s="145"/>
    </row>
    <row r="149" spans="1:4" ht="12.75">
      <c r="A149" s="163">
        <v>0.12</v>
      </c>
      <c r="B149" s="164">
        <f t="shared" si="2"/>
        <v>47.911947004042645</v>
      </c>
      <c r="C149" s="165">
        <f t="shared" si="3"/>
        <v>54747.82072527992</v>
      </c>
      <c r="D149" s="145"/>
    </row>
    <row r="150" spans="1:4" ht="12.75">
      <c r="A150" s="163">
        <v>0.121</v>
      </c>
      <c r="B150" s="164">
        <f t="shared" si="2"/>
        <v>47.91656260874241</v>
      </c>
      <c r="C150" s="165">
        <f t="shared" si="3"/>
        <v>54749.40390886658</v>
      </c>
      <c r="D150" s="145"/>
    </row>
    <row r="151" spans="1:4" ht="12.75">
      <c r="A151" s="163">
        <v>0.122</v>
      </c>
      <c r="B151" s="164">
        <f t="shared" si="2"/>
        <v>47.92115145225036</v>
      </c>
      <c r="C151" s="165">
        <f t="shared" si="3"/>
        <v>54750.980658892644</v>
      </c>
      <c r="D151" s="145"/>
    </row>
    <row r="152" spans="1:4" ht="12.75">
      <c r="A152" s="163">
        <v>0.123</v>
      </c>
      <c r="B152" s="164">
        <f t="shared" si="2"/>
        <v>47.92571395449853</v>
      </c>
      <c r="C152" s="165">
        <f t="shared" si="3"/>
        <v>54752.55107219534</v>
      </c>
      <c r="D152" s="145"/>
    </row>
    <row r="153" spans="1:4" ht="12.75">
      <c r="A153" s="163">
        <v>0.124</v>
      </c>
      <c r="B153" s="164">
        <f t="shared" si="2"/>
        <v>47.93025052567755</v>
      </c>
      <c r="C153" s="165">
        <f t="shared" si="3"/>
        <v>54754.11524351666</v>
      </c>
      <c r="D153" s="145"/>
    </row>
    <row r="154" spans="1:4" ht="12.75">
      <c r="A154" s="163">
        <v>0.125</v>
      </c>
      <c r="B154" s="164">
        <f t="shared" si="2"/>
        <v>47.93476156654074</v>
      </c>
      <c r="C154" s="165">
        <f t="shared" si="3"/>
        <v>54755.67326556557</v>
      </c>
      <c r="D154" s="145"/>
    </row>
    <row r="155" spans="1:4" ht="12.75">
      <c r="A155" s="163">
        <v>0.126</v>
      </c>
      <c r="B155" s="164">
        <f t="shared" si="2"/>
        <v>47.9392474686962</v>
      </c>
      <c r="C155" s="165">
        <f t="shared" si="3"/>
        <v>54757.2252290782</v>
      </c>
      <c r="D155" s="145"/>
    </row>
    <row r="156" spans="1:4" ht="12.75">
      <c r="A156" s="163">
        <v>0.127</v>
      </c>
      <c r="B156" s="164">
        <f t="shared" si="2"/>
        <v>47.94370861488767</v>
      </c>
      <c r="C156" s="165">
        <f t="shared" si="3"/>
        <v>54758.77122287563</v>
      </c>
      <c r="D156" s="145"/>
    </row>
    <row r="157" spans="1:4" ht="12.75">
      <c r="A157" s="163">
        <v>0.128</v>
      </c>
      <c r="B157" s="164">
        <f t="shared" si="2"/>
        <v>47.948145379264645</v>
      </c>
      <c r="C157" s="165">
        <f t="shared" si="3"/>
        <v>54760.311333919584</v>
      </c>
      <c r="D157" s="145"/>
    </row>
    <row r="158" spans="1:4" ht="12.75">
      <c r="A158" s="163">
        <v>0.129</v>
      </c>
      <c r="B158" s="164">
        <f aca="true" t="shared" si="4" ref="B158:B221">$C$6+NORMSINV($A158)*$C$11*$C$6</f>
        <v>47.95255812764218</v>
      </c>
      <c r="C158" s="165">
        <f aca="true" t="shared" si="5" ref="C158:C221">EPortfolio($C$5+1/252,$B158,$C$7,$C$8,$C$9,,$C$10,$H$7:$L$10,0)</f>
        <v>54761.845647366186</v>
      </c>
      <c r="D158" s="145"/>
    </row>
    <row r="159" spans="1:4" ht="12.75">
      <c r="A159" s="163">
        <v>0.13</v>
      </c>
      <c r="B159" s="164">
        <f t="shared" si="4"/>
        <v>47.95694721775092</v>
      </c>
      <c r="C159" s="165">
        <f t="shared" si="5"/>
        <v>54763.37424661761</v>
      </c>
      <c r="D159" s="145"/>
    </row>
    <row r="160" spans="1:4" ht="12.75">
      <c r="A160" s="163">
        <v>0.131</v>
      </c>
      <c r="B160" s="164">
        <f t="shared" si="4"/>
        <v>47.96131299947776</v>
      </c>
      <c r="C160" s="165">
        <f t="shared" si="5"/>
        <v>54764.89721337198</v>
      </c>
      <c r="D160" s="145"/>
    </row>
    <row r="161" spans="1:4" ht="12.75">
      <c r="A161" s="163">
        <v>0.132</v>
      </c>
      <c r="B161" s="164">
        <f t="shared" si="4"/>
        <v>47.96565581509755</v>
      </c>
      <c r="C161" s="165">
        <f t="shared" si="5"/>
        <v>54766.414627671445</v>
      </c>
      <c r="D161" s="145"/>
    </row>
    <row r="162" spans="1:4" ht="12.75">
      <c r="A162" s="163">
        <v>0.133</v>
      </c>
      <c r="B162" s="164">
        <f t="shared" si="4"/>
        <v>47.96997599949624</v>
      </c>
      <c r="C162" s="165">
        <f t="shared" si="5"/>
        <v>54767.92656794857</v>
      </c>
      <c r="D162" s="145"/>
    </row>
    <row r="163" spans="1:4" ht="12.75">
      <c r="A163" s="163">
        <v>0.134</v>
      </c>
      <c r="B163" s="164">
        <f t="shared" si="4"/>
        <v>47.97427388038594</v>
      </c>
      <c r="C163" s="165">
        <f t="shared" si="5"/>
        <v>54769.433111071026</v>
      </c>
      <c r="D163" s="145"/>
    </row>
    <row r="164" spans="1:4" ht="12.75">
      <c r="A164" s="163">
        <v>0.135</v>
      </c>
      <c r="B164" s="164">
        <f t="shared" si="4"/>
        <v>47.97854977851203</v>
      </c>
      <c r="C164" s="165">
        <f t="shared" si="5"/>
        <v>54770.93433238486</v>
      </c>
      <c r="D164" s="145"/>
    </row>
    <row r="165" spans="1:4" ht="12.75">
      <c r="A165" s="163">
        <v>0.136</v>
      </c>
      <c r="B165" s="164">
        <f t="shared" si="4"/>
        <v>47.98280400785296</v>
      </c>
      <c r="C165" s="165">
        <f t="shared" si="5"/>
        <v>54772.43030575608</v>
      </c>
      <c r="D165" s="145"/>
    </row>
    <row r="166" spans="1:4" ht="12.75">
      <c r="A166" s="163">
        <v>0.137</v>
      </c>
      <c r="B166" s="164">
        <f t="shared" si="4"/>
        <v>47.98703687581278</v>
      </c>
      <c r="C166" s="165">
        <f t="shared" si="5"/>
        <v>54773.92110361101</v>
      </c>
      <c r="D166" s="145"/>
    </row>
    <row r="167" spans="1:4" ht="12.75">
      <c r="A167" s="163">
        <v>0.138</v>
      </c>
      <c r="B167" s="164">
        <f t="shared" si="4"/>
        <v>47.991248683406845</v>
      </c>
      <c r="C167" s="165">
        <f t="shared" si="5"/>
        <v>54775.40679697504</v>
      </c>
      <c r="D167" s="145"/>
    </row>
    <row r="168" spans="1:4" ht="12.75">
      <c r="A168" s="163">
        <v>0.139</v>
      </c>
      <c r="B168" s="164">
        <f t="shared" si="4"/>
        <v>47.99543972544103</v>
      </c>
      <c r="C168" s="165">
        <f t="shared" si="5"/>
        <v>54776.88745551026</v>
      </c>
      <c r="D168" s="145"/>
    </row>
    <row r="169" spans="1:4" ht="12.75">
      <c r="A169" s="163">
        <v>0.14</v>
      </c>
      <c r="B169" s="164">
        <f t="shared" si="4"/>
        <v>47.999610290684636</v>
      </c>
      <c r="C169" s="165">
        <f t="shared" si="5"/>
        <v>54778.36314755176</v>
      </c>
      <c r="D169" s="145"/>
    </row>
    <row r="170" spans="1:4" ht="12.75">
      <c r="A170" s="163">
        <v>0.14100000000000001</v>
      </c>
      <c r="B170" s="164">
        <f t="shared" si="4"/>
        <v>48.00376066203725</v>
      </c>
      <c r="C170" s="165">
        <f t="shared" si="5"/>
        <v>54779.83394014262</v>
      </c>
      <c r="D170" s="145"/>
    </row>
    <row r="171" spans="1:4" ht="12.75">
      <c r="A171" s="163">
        <v>0.14200000000000002</v>
      </c>
      <c r="B171" s="164">
        <f t="shared" si="4"/>
        <v>48.0078911166899</v>
      </c>
      <c r="C171" s="165">
        <f t="shared" si="5"/>
        <v>54781.299899067926</v>
      </c>
      <c r="D171" s="145"/>
    </row>
    <row r="172" spans="1:4" ht="12.75">
      <c r="A172" s="163">
        <v>0.14300000000000002</v>
      </c>
      <c r="B172" s="164">
        <f t="shared" si="4"/>
        <v>48.01200192628065</v>
      </c>
      <c r="C172" s="165">
        <f t="shared" si="5"/>
        <v>54782.76108888743</v>
      </c>
      <c r="D172" s="145"/>
    </row>
    <row r="173" spans="1:4" ht="12.75">
      <c r="A173" s="163">
        <v>0.14400000000000002</v>
      </c>
      <c r="B173" s="164">
        <f t="shared" si="4"/>
        <v>48.016093357044895</v>
      </c>
      <c r="C173" s="165">
        <f t="shared" si="5"/>
        <v>54784.21757296745</v>
      </c>
      <c r="D173" s="145"/>
    </row>
    <row r="174" spans="1:4" ht="12.75">
      <c r="A174" s="163">
        <v>0.145</v>
      </c>
      <c r="B174" s="164">
        <f t="shared" si="4"/>
        <v>48.02016566996065</v>
      </c>
      <c r="C174" s="165">
        <f t="shared" si="5"/>
        <v>54785.669413511365</v>
      </c>
      <c r="D174" s="145"/>
    </row>
    <row r="175" spans="1:4" ht="12.75">
      <c r="A175" s="163">
        <v>0.146</v>
      </c>
      <c r="B175" s="164">
        <f t="shared" si="4"/>
        <v>48.02421912088883</v>
      </c>
      <c r="C175" s="165">
        <f t="shared" si="5"/>
        <v>54787.11667158943</v>
      </c>
      <c r="D175" s="145"/>
    </row>
    <row r="176" spans="1:4" ht="12.75">
      <c r="A176" s="163">
        <v>0.147</v>
      </c>
      <c r="B176" s="164">
        <f t="shared" si="4"/>
        <v>48.02825396070897</v>
      </c>
      <c r="C176" s="165">
        <f t="shared" si="5"/>
        <v>54788.55940716749</v>
      </c>
      <c r="D176" s="145"/>
    </row>
    <row r="177" spans="1:4" ht="12.75">
      <c r="A177" s="163">
        <v>0.148</v>
      </c>
      <c r="B177" s="164">
        <f t="shared" si="4"/>
        <v>48.03227043545041</v>
      </c>
      <c r="C177" s="165">
        <f t="shared" si="5"/>
        <v>54789.997679134765</v>
      </c>
      <c r="D177" s="145"/>
    </row>
    <row r="178" spans="1:4" ht="12.75">
      <c r="A178" s="163">
        <v>0.149</v>
      </c>
      <c r="B178" s="164">
        <f t="shared" si="4"/>
        <v>48.03626878641912</v>
      </c>
      <c r="C178" s="165">
        <f t="shared" si="5"/>
        <v>54791.431545330895</v>
      </c>
      <c r="D178" s="145"/>
    </row>
    <row r="179" spans="1:4" ht="12.75">
      <c r="A179" s="163">
        <v>0.15</v>
      </c>
      <c r="B179" s="164">
        <f t="shared" si="4"/>
        <v>48.04024925032049</v>
      </c>
      <c r="C179" s="165">
        <f t="shared" si="5"/>
        <v>54792.86106257189</v>
      </c>
      <c r="D179" s="145"/>
    </row>
    <row r="180" spans="1:4" ht="12.75">
      <c r="A180" s="163">
        <v>0.151</v>
      </c>
      <c r="B180" s="164">
        <f t="shared" si="4"/>
        <v>48.04421205937803</v>
      </c>
      <c r="C180" s="165">
        <f t="shared" si="5"/>
        <v>54794.2862866756</v>
      </c>
      <c r="D180" s="145"/>
    </row>
    <row r="181" spans="1:4" ht="12.75">
      <c r="A181" s="163">
        <v>0.152</v>
      </c>
      <c r="B181" s="164">
        <f t="shared" si="4"/>
        <v>48.048157441448296</v>
      </c>
      <c r="C181" s="165">
        <f t="shared" si="5"/>
        <v>54795.707272486005</v>
      </c>
      <c r="D181" s="145"/>
    </row>
    <row r="182" spans="1:4" ht="12.75">
      <c r="A182" s="163">
        <v>0.153</v>
      </c>
      <c r="B182" s="164">
        <f t="shared" si="4"/>
        <v>48.052085620132125</v>
      </c>
      <c r="C182" s="165">
        <f t="shared" si="5"/>
        <v>54797.12407389718</v>
      </c>
      <c r="D182" s="145"/>
    </row>
    <row r="183" spans="1:4" ht="12.75">
      <c r="A183" s="163">
        <v>0.154</v>
      </c>
      <c r="B183" s="164">
        <f t="shared" si="4"/>
        <v>48.055996814882334</v>
      </c>
      <c r="C183" s="165">
        <f t="shared" si="5"/>
        <v>54798.536743876146</v>
      </c>
      <c r="D183" s="145"/>
    </row>
    <row r="184" spans="1:4" ht="12.75">
      <c r="A184" s="163">
        <v>0.155</v>
      </c>
      <c r="B184" s="164">
        <f t="shared" si="4"/>
        <v>48.05989124110803</v>
      </c>
      <c r="C184" s="165">
        <f t="shared" si="5"/>
        <v>54799.94533448529</v>
      </c>
      <c r="D184" s="145"/>
    </row>
    <row r="185" spans="1:4" ht="12.75">
      <c r="A185" s="163">
        <v>0.156</v>
      </c>
      <c r="B185" s="164">
        <f t="shared" si="4"/>
        <v>48.06376911027562</v>
      </c>
      <c r="C185" s="165">
        <f t="shared" si="5"/>
        <v>54801.34989690391</v>
      </c>
      <c r="D185" s="145"/>
    </row>
    <row r="186" spans="1:4" ht="12.75">
      <c r="A186" s="163">
        <v>0.157</v>
      </c>
      <c r="B186" s="164">
        <f t="shared" si="4"/>
        <v>48.06763063000665</v>
      </c>
      <c r="C186" s="165">
        <f t="shared" si="5"/>
        <v>54802.75048144932</v>
      </c>
      <c r="D186" s="145"/>
    </row>
    <row r="187" spans="1:4" ht="12.75">
      <c r="A187" s="163">
        <v>0.158</v>
      </c>
      <c r="B187" s="164">
        <f t="shared" si="4"/>
        <v>48.07147600417269</v>
      </c>
      <c r="C187" s="165">
        <f t="shared" si="5"/>
        <v>54804.14713759717</v>
      </c>
      <c r="D187" s="145"/>
    </row>
    <row r="188" spans="1:4" ht="12.75">
      <c r="A188" s="163">
        <v>0.159</v>
      </c>
      <c r="B188" s="164">
        <f t="shared" si="4"/>
        <v>48.07530543298722</v>
      </c>
      <c r="C188" s="165">
        <f t="shared" si="5"/>
        <v>54805.53991400119</v>
      </c>
      <c r="D188" s="145"/>
    </row>
    <row r="189" spans="1:4" ht="12.75">
      <c r="A189" s="163">
        <v>0.16</v>
      </c>
      <c r="B189" s="164">
        <f t="shared" si="4"/>
        <v>48.07911911309475</v>
      </c>
      <c r="C189" s="165">
        <f t="shared" si="5"/>
        <v>54806.928858512394</v>
      </c>
      <c r="D189" s="145"/>
    </row>
    <row r="190" spans="1:4" ht="12.75">
      <c r="A190" s="163">
        <v>0.161</v>
      </c>
      <c r="B190" s="164">
        <f t="shared" si="4"/>
        <v>48.08291723765718</v>
      </c>
      <c r="C190" s="165">
        <f t="shared" si="5"/>
        <v>54808.31401819772</v>
      </c>
      <c r="D190" s="145"/>
    </row>
    <row r="191" spans="1:4" ht="12.75">
      <c r="A191" s="163">
        <v>0.162</v>
      </c>
      <c r="B191" s="164">
        <f t="shared" si="4"/>
        <v>48.086699996437616</v>
      </c>
      <c r="C191" s="165">
        <f t="shared" si="5"/>
        <v>54809.69543935807</v>
      </c>
      <c r="D191" s="145"/>
    </row>
    <row r="192" spans="1:4" ht="12.75">
      <c r="A192" s="163">
        <v>0.163</v>
      </c>
      <c r="B192" s="164">
        <f t="shared" si="4"/>
        <v>48.090467575881604</v>
      </c>
      <c r="C192" s="165">
        <f t="shared" si="5"/>
        <v>54811.07316754591</v>
      </c>
      <c r="D192" s="145"/>
    </row>
    <row r="193" spans="1:4" ht="12.75">
      <c r="A193" s="163">
        <v>0.164</v>
      </c>
      <c r="B193" s="164">
        <f t="shared" si="4"/>
        <v>48.094220159196006</v>
      </c>
      <c r="C193" s="165">
        <f t="shared" si="5"/>
        <v>54812.447247582335</v>
      </c>
      <c r="D193" s="145"/>
    </row>
    <row r="194" spans="1:4" ht="12.75">
      <c r="A194" s="163">
        <v>0.165</v>
      </c>
      <c r="B194" s="164">
        <f t="shared" si="4"/>
        <v>48.097957926425444</v>
      </c>
      <c r="C194" s="165">
        <f t="shared" si="5"/>
        <v>54813.81772357352</v>
      </c>
      <c r="D194" s="145"/>
    </row>
    <row r="195" spans="1:4" ht="12.75">
      <c r="A195" s="163">
        <v>0.166</v>
      </c>
      <c r="B195" s="164">
        <f t="shared" si="4"/>
        <v>48.1016810545266</v>
      </c>
      <c r="C195" s="165">
        <f t="shared" si="5"/>
        <v>54815.18463892698</v>
      </c>
      <c r="D195" s="145"/>
    </row>
    <row r="196" spans="1:4" ht="12.75">
      <c r="A196" s="163">
        <v>0.167</v>
      </c>
      <c r="B196" s="164">
        <f t="shared" si="4"/>
        <v>48.105389717440254</v>
      </c>
      <c r="C196" s="165">
        <f t="shared" si="5"/>
        <v>54816.54803636709</v>
      </c>
      <c r="D196" s="145"/>
    </row>
    <row r="197" spans="1:4" ht="12.75">
      <c r="A197" s="163">
        <v>0.168</v>
      </c>
      <c r="B197" s="164">
        <f t="shared" si="4"/>
        <v>48.109084086161246</v>
      </c>
      <c r="C197" s="165">
        <f t="shared" si="5"/>
        <v>54817.90795795038</v>
      </c>
      <c r="D197" s="145"/>
    </row>
    <row r="198" spans="1:4" ht="12.75">
      <c r="A198" s="163">
        <v>0.169</v>
      </c>
      <c r="B198" s="164">
        <f t="shared" si="4"/>
        <v>48.11276432880643</v>
      </c>
      <c r="C198" s="165">
        <f t="shared" si="5"/>
        <v>54819.264445080225</v>
      </c>
      <c r="D198" s="145"/>
    </row>
    <row r="199" spans="1:4" ht="12.75">
      <c r="A199" s="163">
        <v>0.17</v>
      </c>
      <c r="B199" s="164">
        <f t="shared" si="4"/>
        <v>48.11643061068066</v>
      </c>
      <c r="C199" s="165">
        <f t="shared" si="5"/>
        <v>54820.61753852127</v>
      </c>
      <c r="D199" s="145"/>
    </row>
    <row r="200" spans="1:4" ht="12.75">
      <c r="A200" s="163">
        <v>0.171</v>
      </c>
      <c r="B200" s="164">
        <f t="shared" si="4"/>
        <v>48.12008309434089</v>
      </c>
      <c r="C200" s="165">
        <f t="shared" si="5"/>
        <v>54821.96727841341</v>
      </c>
      <c r="D200" s="145"/>
    </row>
    <row r="201" spans="1:4" ht="12.75">
      <c r="A201" s="163">
        <v>0.17200000000000001</v>
      </c>
      <c r="B201" s="164">
        <f t="shared" si="4"/>
        <v>48.123721939658424</v>
      </c>
      <c r="C201" s="165">
        <f t="shared" si="5"/>
        <v>54823.31370428537</v>
      </c>
      <c r="D201" s="145"/>
    </row>
    <row r="202" spans="1:4" ht="12.75">
      <c r="A202" s="163">
        <v>0.17300000000000001</v>
      </c>
      <c r="B202" s="164">
        <f t="shared" si="4"/>
        <v>48.12734730387945</v>
      </c>
      <c r="C202" s="165">
        <f t="shared" si="5"/>
        <v>54824.65685506789</v>
      </c>
      <c r="D202" s="145"/>
    </row>
    <row r="203" spans="1:4" ht="12.75">
      <c r="A203" s="163">
        <v>0.17400000000000002</v>
      </c>
      <c r="B203" s="164">
        <f t="shared" si="4"/>
        <v>48.13095934168387</v>
      </c>
      <c r="C203" s="165">
        <f t="shared" si="5"/>
        <v>54825.9967691067</v>
      </c>
      <c r="D203" s="145"/>
    </row>
    <row r="204" spans="1:4" ht="12.75">
      <c r="A204" s="163">
        <v>0.175</v>
      </c>
      <c r="B204" s="164">
        <f t="shared" si="4"/>
        <v>48.13455820524239</v>
      </c>
      <c r="C204" s="165">
        <f t="shared" si="5"/>
        <v>54827.33348417489</v>
      </c>
      <c r="D204" s="145"/>
    </row>
    <row r="205" spans="1:4" ht="12.75">
      <c r="A205" s="163">
        <v>0.17600000000000002</v>
      </c>
      <c r="B205" s="164">
        <f t="shared" si="4"/>
        <v>48.13814404427221</v>
      </c>
      <c r="C205" s="165">
        <f t="shared" si="5"/>
        <v>54828.66703748522</v>
      </c>
      <c r="D205" s="145"/>
    </row>
    <row r="206" spans="1:4" ht="12.75">
      <c r="A206" s="163">
        <v>0.177</v>
      </c>
      <c r="B206" s="164">
        <f t="shared" si="4"/>
        <v>48.14171700609095</v>
      </c>
      <c r="C206" s="165">
        <f t="shared" si="5"/>
        <v>54829.99746570193</v>
      </c>
      <c r="D206" s="145"/>
    </row>
    <row r="207" spans="1:4" ht="12.75">
      <c r="A207" s="163">
        <v>0.178</v>
      </c>
      <c r="B207" s="164">
        <f t="shared" si="4"/>
        <v>48.1452772356693</v>
      </c>
      <c r="C207" s="165">
        <f t="shared" si="5"/>
        <v>54831.32480495223</v>
      </c>
      <c r="D207" s="145"/>
    </row>
    <row r="208" spans="1:4" ht="12.75">
      <c r="A208" s="163">
        <v>0.179</v>
      </c>
      <c r="B208" s="164">
        <f t="shared" si="4"/>
        <v>48.14882487568208</v>
      </c>
      <c r="C208" s="165">
        <f t="shared" si="5"/>
        <v>54832.649090837695</v>
      </c>
      <c r="D208" s="145"/>
    </row>
    <row r="209" spans="1:4" ht="12.75">
      <c r="A209" s="163">
        <v>0.18</v>
      </c>
      <c r="B209" s="164">
        <f t="shared" si="4"/>
        <v>48.15236006655799</v>
      </c>
      <c r="C209" s="165">
        <f t="shared" si="5"/>
        <v>54833.97035844502</v>
      </c>
      <c r="D209" s="145"/>
    </row>
    <row r="210" spans="1:4" ht="12.75">
      <c r="A210" s="163">
        <v>0.181</v>
      </c>
      <c r="B210" s="164">
        <f t="shared" si="4"/>
        <v>48.15588294652802</v>
      </c>
      <c r="C210" s="165">
        <f t="shared" si="5"/>
        <v>54835.28864235689</v>
      </c>
      <c r="D210" s="145"/>
    </row>
    <row r="211" spans="1:4" ht="12.75">
      <c r="A211" s="163">
        <v>0.182</v>
      </c>
      <c r="B211" s="164">
        <f t="shared" si="4"/>
        <v>48.15939365167249</v>
      </c>
      <c r="C211" s="165">
        <f t="shared" si="5"/>
        <v>54836.6039766622</v>
      </c>
      <c r="D211" s="145"/>
    </row>
    <row r="212" spans="1:4" ht="12.75">
      <c r="A212" s="163">
        <v>0.183</v>
      </c>
      <c r="B212" s="164">
        <f t="shared" si="4"/>
        <v>48.162892315966914</v>
      </c>
      <c r="C212" s="165">
        <f t="shared" si="5"/>
        <v>54837.91639496623</v>
      </c>
      <c r="D212" s="145"/>
    </row>
    <row r="213" spans="1:4" ht="12.75">
      <c r="A213" s="163">
        <v>0.184</v>
      </c>
      <c r="B213" s="164">
        <f t="shared" si="4"/>
        <v>48.16637907132661</v>
      </c>
      <c r="C213" s="165">
        <f t="shared" si="5"/>
        <v>54839.225930400564</v>
      </c>
      <c r="D213" s="145"/>
    </row>
    <row r="214" spans="1:4" ht="12.75">
      <c r="A214" s="163">
        <v>0.185</v>
      </c>
      <c r="B214" s="164">
        <f t="shared" si="4"/>
        <v>48.169854047650105</v>
      </c>
      <c r="C214" s="165">
        <f t="shared" si="5"/>
        <v>54840.53261563265</v>
      </c>
      <c r="D214" s="145"/>
    </row>
    <row r="215" spans="1:4" ht="12.75">
      <c r="A215" s="163">
        <v>0.186</v>
      </c>
      <c r="B215" s="164">
        <f t="shared" si="4"/>
        <v>48.17331737286147</v>
      </c>
      <c r="C215" s="165">
        <f t="shared" si="5"/>
        <v>54841.836482875144</v>
      </c>
      <c r="D215" s="145"/>
    </row>
    <row r="216" spans="1:4" ht="12.75">
      <c r="A216" s="163">
        <v>0.187</v>
      </c>
      <c r="B216" s="164">
        <f t="shared" si="4"/>
        <v>48.17676917295144</v>
      </c>
      <c r="C216" s="165">
        <f t="shared" si="5"/>
        <v>54843.13756389512</v>
      </c>
      <c r="D216" s="145"/>
    </row>
    <row r="217" spans="1:4" ht="12.75">
      <c r="A217" s="163">
        <v>0.188</v>
      </c>
      <c r="B217" s="164">
        <f t="shared" si="4"/>
        <v>48.1802095720176</v>
      </c>
      <c r="C217" s="165">
        <f t="shared" si="5"/>
        <v>54844.43589002289</v>
      </c>
      <c r="D217" s="145"/>
    </row>
    <row r="218" spans="1:4" ht="12.75">
      <c r="A218" s="163">
        <v>0.189</v>
      </c>
      <c r="B218" s="164">
        <f t="shared" si="4"/>
        <v>48.18363869230342</v>
      </c>
      <c r="C218" s="165">
        <f t="shared" si="5"/>
        <v>54845.731492160805</v>
      </c>
      <c r="D218" s="145"/>
    </row>
    <row r="219" spans="1:4" ht="12.75">
      <c r="A219" s="163">
        <v>0.19</v>
      </c>
      <c r="B219" s="164">
        <f t="shared" si="4"/>
        <v>48.187056654236315</v>
      </c>
      <c r="C219" s="165">
        <f t="shared" si="5"/>
        <v>54847.02440079156</v>
      </c>
      <c r="D219" s="145"/>
    </row>
    <row r="220" spans="1:4" ht="12.75">
      <c r="A220" s="163">
        <v>0.191</v>
      </c>
      <c r="B220" s="164">
        <f t="shared" si="4"/>
        <v>48.190463576464765</v>
      </c>
      <c r="C220" s="165">
        <f t="shared" si="5"/>
        <v>54848.31464598662</v>
      </c>
      <c r="D220" s="145"/>
    </row>
    <row r="221" spans="1:4" ht="12.75">
      <c r="A221" s="163">
        <v>0.192</v>
      </c>
      <c r="B221" s="164">
        <f t="shared" si="4"/>
        <v>48.19385957589448</v>
      </c>
      <c r="C221" s="165">
        <f t="shared" si="5"/>
        <v>54849.60225741413</v>
      </c>
      <c r="D221" s="145"/>
    </row>
    <row r="222" spans="1:4" ht="12.75">
      <c r="A222" s="163">
        <v>0.193</v>
      </c>
      <c r="B222" s="164">
        <f aca="true" t="shared" si="6" ref="B222:B285">$C$6+NORMSINV($A222)*$C$11*$C$6</f>
        <v>48.19724476772359</v>
      </c>
      <c r="C222" s="165">
        <f aca="true" t="shared" si="7" ref="C222:C285">EPortfolio($C$5+1/252,$B222,$C$7,$C$8,$C$9,,$C$10,$H$7:$L$10,0)</f>
        <v>54850.88726434696</v>
      </c>
      <c r="D222" s="145"/>
    </row>
    <row r="223" spans="1:4" ht="12.75">
      <c r="A223" s="163">
        <v>0.194</v>
      </c>
      <c r="B223" s="164">
        <f t="shared" si="6"/>
        <v>48.200619265477044</v>
      </c>
      <c r="C223" s="165">
        <f t="shared" si="7"/>
        <v>54852.169695670134</v>
      </c>
      <c r="D223" s="145"/>
    </row>
    <row r="224" spans="1:4" ht="12.75">
      <c r="A224" s="163">
        <v>0.195</v>
      </c>
      <c r="B224" s="164">
        <f t="shared" si="6"/>
        <v>48.20398318104007</v>
      </c>
      <c r="C224" s="165">
        <f t="shared" si="7"/>
        <v>54853.44957988858</v>
      </c>
      <c r="D224" s="145"/>
    </row>
    <row r="225" spans="1:4" ht="12.75">
      <c r="A225" s="163">
        <v>0.196</v>
      </c>
      <c r="B225" s="164">
        <f t="shared" si="6"/>
        <v>48.207336624690846</v>
      </c>
      <c r="C225" s="165">
        <f t="shared" si="7"/>
        <v>54854.7269451342</v>
      </c>
      <c r="D225" s="145"/>
    </row>
    <row r="226" spans="1:4" ht="12.75">
      <c r="A226" s="163">
        <v>0.197</v>
      </c>
      <c r="B226" s="164">
        <f t="shared" si="6"/>
        <v>48.21067970513232</v>
      </c>
      <c r="C226" s="165">
        <f t="shared" si="7"/>
        <v>54856.00181917321</v>
      </c>
      <c r="D226" s="145"/>
    </row>
    <row r="227" spans="1:4" ht="12.75">
      <c r="A227" s="163">
        <v>0.198</v>
      </c>
      <c r="B227" s="164">
        <f t="shared" si="6"/>
        <v>48.21401252952328</v>
      </c>
      <c r="C227" s="165">
        <f t="shared" si="7"/>
        <v>54857.27422941291</v>
      </c>
      <c r="D227" s="145"/>
    </row>
    <row r="228" spans="1:4" ht="12.75">
      <c r="A228" s="163">
        <v>0.199</v>
      </c>
      <c r="B228" s="164">
        <f t="shared" si="6"/>
        <v>48.217335203508675</v>
      </c>
      <c r="C228" s="165">
        <f t="shared" si="7"/>
        <v>54858.54420290864</v>
      </c>
      <c r="D228" s="145"/>
    </row>
    <row r="229" spans="1:4" ht="12.75">
      <c r="A229" s="163">
        <v>0.2</v>
      </c>
      <c r="B229" s="164">
        <f t="shared" si="6"/>
        <v>48.22064783124913</v>
      </c>
      <c r="C229" s="165">
        <f t="shared" si="7"/>
        <v>54859.81176637039</v>
      </c>
      <c r="D229" s="145"/>
    </row>
    <row r="230" spans="1:4" ht="12.75">
      <c r="A230" s="163">
        <v>0.201</v>
      </c>
      <c r="B230" s="164">
        <f t="shared" si="6"/>
        <v>48.223950515449815</v>
      </c>
      <c r="C230" s="165">
        <f t="shared" si="7"/>
        <v>54861.07694616915</v>
      </c>
      <c r="D230" s="145"/>
    </row>
    <row r="231" spans="1:4" ht="12.75">
      <c r="A231" s="163">
        <v>0.202</v>
      </c>
      <c r="B231" s="164">
        <f t="shared" si="6"/>
        <v>48.227243357388566</v>
      </c>
      <c r="C231" s="165">
        <f t="shared" si="7"/>
        <v>54862.33976834345</v>
      </c>
      <c r="D231" s="145"/>
    </row>
    <row r="232" spans="1:4" ht="12.75">
      <c r="A232" s="163">
        <v>0.203</v>
      </c>
      <c r="B232" s="164">
        <f t="shared" si="6"/>
        <v>48.230526456943366</v>
      </c>
      <c r="C232" s="165">
        <f t="shared" si="7"/>
        <v>54863.6002586054</v>
      </c>
      <c r="D232" s="145"/>
    </row>
    <row r="233" spans="1:4" ht="12.75">
      <c r="A233" s="163">
        <v>0.20400000000000001</v>
      </c>
      <c r="B233" s="164">
        <f t="shared" si="6"/>
        <v>48.23379991261913</v>
      </c>
      <c r="C233" s="165">
        <f t="shared" si="7"/>
        <v>54864.85844234683</v>
      </c>
      <c r="D233" s="145"/>
    </row>
    <row r="234" spans="1:4" ht="12.75">
      <c r="A234" s="163">
        <v>0.205</v>
      </c>
      <c r="B234" s="164">
        <f t="shared" si="6"/>
        <v>48.2370638215739</v>
      </c>
      <c r="C234" s="165">
        <f t="shared" si="7"/>
        <v>54866.11434464506</v>
      </c>
      <c r="D234" s="145"/>
    </row>
    <row r="235" spans="1:4" ht="12.75">
      <c r="A235" s="163">
        <v>0.20600000000000002</v>
      </c>
      <c r="B235" s="164">
        <f t="shared" si="6"/>
        <v>48.24031827964436</v>
      </c>
      <c r="C235" s="165">
        <f t="shared" si="7"/>
        <v>54867.36799026884</v>
      </c>
      <c r="D235" s="145"/>
    </row>
    <row r="236" spans="1:4" ht="12.75">
      <c r="A236" s="163">
        <v>0.20700000000000002</v>
      </c>
      <c r="B236" s="164">
        <f t="shared" si="6"/>
        <v>48.24356338137083</v>
      </c>
      <c r="C236" s="165">
        <f t="shared" si="7"/>
        <v>54868.61940368392</v>
      </c>
      <c r="D236" s="145"/>
    </row>
    <row r="237" spans="1:4" ht="12.75">
      <c r="A237" s="163">
        <v>0.20800000000000002</v>
      </c>
      <c r="B237" s="164">
        <f t="shared" si="6"/>
        <v>48.24679922002156</v>
      </c>
      <c r="C237" s="165">
        <f t="shared" si="7"/>
        <v>54869.86860905852</v>
      </c>
      <c r="D237" s="145"/>
    </row>
    <row r="238" spans="1:4" ht="12.75">
      <c r="A238" s="163">
        <v>0.20900000000000002</v>
      </c>
      <c r="B238" s="164">
        <f t="shared" si="6"/>
        <v>48.25002588761657</v>
      </c>
      <c r="C238" s="165">
        <f t="shared" si="7"/>
        <v>54871.11563026876</v>
      </c>
      <c r="D238" s="145"/>
    </row>
    <row r="239" spans="1:4" ht="12.75">
      <c r="A239" s="163">
        <v>0.21</v>
      </c>
      <c r="B239" s="164">
        <f t="shared" si="6"/>
        <v>48.2532434749509</v>
      </c>
      <c r="C239" s="165">
        <f t="shared" si="7"/>
        <v>54872.36049090394</v>
      </c>
      <c r="D239" s="145"/>
    </row>
    <row r="240" spans="1:4" ht="12.75">
      <c r="A240" s="163">
        <v>0.211</v>
      </c>
      <c r="B240" s="164">
        <f t="shared" si="6"/>
        <v>48.256452071617254</v>
      </c>
      <c r="C240" s="165">
        <f t="shared" si="7"/>
        <v>54873.60321427176</v>
      </c>
      <c r="D240" s="145"/>
    </row>
    <row r="241" spans="1:4" ht="12.75">
      <c r="A241" s="163">
        <v>0.212</v>
      </c>
      <c r="B241" s="164">
        <f t="shared" si="6"/>
        <v>48.25965176602821</v>
      </c>
      <c r="C241" s="165">
        <f t="shared" si="7"/>
        <v>54874.84382340315</v>
      </c>
      <c r="D241" s="145"/>
    </row>
    <row r="242" spans="1:4" ht="12.75">
      <c r="A242" s="163">
        <v>0.213</v>
      </c>
      <c r="B242" s="164">
        <f t="shared" si="6"/>
        <v>48.26284264543792</v>
      </c>
      <c r="C242" s="165">
        <f t="shared" si="7"/>
        <v>54876.08234105746</v>
      </c>
      <c r="D242" s="145"/>
    </row>
    <row r="243" spans="1:4" ht="12.75">
      <c r="A243" s="163">
        <v>0.214</v>
      </c>
      <c r="B243" s="164">
        <f t="shared" si="6"/>
        <v>48.266024795963226</v>
      </c>
      <c r="C243" s="165">
        <f t="shared" si="7"/>
        <v>54877.31878972705</v>
      </c>
      <c r="D243" s="145"/>
    </row>
    <row r="244" spans="1:4" ht="12.75">
      <c r="A244" s="163">
        <v>0.215</v>
      </c>
      <c r="B244" s="164">
        <f t="shared" si="6"/>
        <v>48.269198302604394</v>
      </c>
      <c r="C244" s="165">
        <f t="shared" si="7"/>
        <v>54878.5531916422</v>
      </c>
      <c r="D244" s="145"/>
    </row>
    <row r="245" spans="1:4" ht="12.75">
      <c r="A245" s="163">
        <v>0.216</v>
      </c>
      <c r="B245" s="164">
        <f t="shared" si="6"/>
        <v>48.27236324926535</v>
      </c>
      <c r="C245" s="165">
        <f t="shared" si="7"/>
        <v>54879.785568775565</v>
      </c>
      <c r="D245" s="145"/>
    </row>
    <row r="246" spans="1:4" ht="12.75">
      <c r="A246" s="163">
        <v>0.217</v>
      </c>
      <c r="B246" s="164">
        <f t="shared" si="6"/>
        <v>48.27551971877341</v>
      </c>
      <c r="C246" s="165">
        <f t="shared" si="7"/>
        <v>54881.015942846825</v>
      </c>
      <c r="D246" s="145"/>
    </row>
    <row r="247" spans="1:4" ht="12.75">
      <c r="A247" s="163">
        <v>0.218</v>
      </c>
      <c r="B247" s="164">
        <f t="shared" si="6"/>
        <v>48.27866779289866</v>
      </c>
      <c r="C247" s="165">
        <f t="shared" si="7"/>
        <v>54882.244335326985</v>
      </c>
      <c r="D247" s="145"/>
    </row>
    <row r="248" spans="1:4" ht="12.75">
      <c r="A248" s="163">
        <v>0.219</v>
      </c>
      <c r="B248" s="164">
        <f t="shared" si="6"/>
        <v>48.28180755237283</v>
      </c>
      <c r="C248" s="165">
        <f t="shared" si="7"/>
        <v>54883.47076744278</v>
      </c>
      <c r="D248" s="145"/>
    </row>
    <row r="249" spans="1:4" ht="12.75">
      <c r="A249" s="163">
        <v>0.22</v>
      </c>
      <c r="B249" s="164">
        <f t="shared" si="6"/>
        <v>48.28493907690779</v>
      </c>
      <c r="C249" s="165">
        <f t="shared" si="7"/>
        <v>54884.69526018083</v>
      </c>
      <c r="D249" s="145"/>
    </row>
    <row r="250" spans="1:4" ht="12.75">
      <c r="A250" s="163">
        <v>0.221</v>
      </c>
      <c r="B250" s="164">
        <f t="shared" si="6"/>
        <v>48.28806244521359</v>
      </c>
      <c r="C250" s="165">
        <f t="shared" si="7"/>
        <v>54885.9178342919</v>
      </c>
      <c r="D250" s="145"/>
    </row>
    <row r="251" spans="1:4" ht="12.75">
      <c r="A251" s="163">
        <v>0.222</v>
      </c>
      <c r="B251" s="164">
        <f t="shared" si="6"/>
        <v>48.291177735016205</v>
      </c>
      <c r="C251" s="165">
        <f t="shared" si="7"/>
        <v>54887.13851029482</v>
      </c>
      <c r="D251" s="145"/>
    </row>
    <row r="252" spans="1:4" ht="12.75">
      <c r="A252" s="163">
        <v>0.223</v>
      </c>
      <c r="B252" s="164">
        <f t="shared" si="6"/>
        <v>48.29428502307474</v>
      </c>
      <c r="C252" s="165">
        <f t="shared" si="7"/>
        <v>54888.357308480525</v>
      </c>
      <c r="D252" s="145"/>
    </row>
    <row r="253" spans="1:4" ht="12.75">
      <c r="A253" s="163">
        <v>0.224</v>
      </c>
      <c r="B253" s="164">
        <f t="shared" si="6"/>
        <v>48.29738438519843</v>
      </c>
      <c r="C253" s="165">
        <f t="shared" si="7"/>
        <v>54889.57424891597</v>
      </c>
      <c r="D253" s="145"/>
    </row>
    <row r="254" spans="1:4" ht="12.75">
      <c r="A254" s="163">
        <v>0.225</v>
      </c>
      <c r="B254" s="164">
        <f t="shared" si="6"/>
        <v>48.300475896263116</v>
      </c>
      <c r="C254" s="165">
        <f t="shared" si="7"/>
        <v>54890.78935144786</v>
      </c>
      <c r="D254" s="145"/>
    </row>
    <row r="255" spans="1:4" ht="12.75">
      <c r="A255" s="163">
        <v>0.226</v>
      </c>
      <c r="B255" s="164">
        <f t="shared" si="6"/>
        <v>48.30355963022748</v>
      </c>
      <c r="C255" s="165">
        <f t="shared" si="7"/>
        <v>54892.002635706405</v>
      </c>
      <c r="D255" s="145"/>
    </row>
    <row r="256" spans="1:4" ht="12.75">
      <c r="A256" s="163">
        <v>0.227</v>
      </c>
      <c r="B256" s="164">
        <f t="shared" si="6"/>
        <v>48.306635660148885</v>
      </c>
      <c r="C256" s="165">
        <f t="shared" si="7"/>
        <v>54893.21412110903</v>
      </c>
      <c r="D256" s="145"/>
    </row>
    <row r="257" spans="1:4" ht="12.75">
      <c r="A257" s="163">
        <v>0.228</v>
      </c>
      <c r="B257" s="164">
        <f t="shared" si="6"/>
        <v>48.30970405819886</v>
      </c>
      <c r="C257" s="165">
        <f t="shared" si="7"/>
        <v>54894.42382686383</v>
      </c>
      <c r="D257" s="145"/>
    </row>
    <row r="258" spans="1:4" ht="12.75">
      <c r="A258" s="163">
        <v>0.229</v>
      </c>
      <c r="B258" s="164">
        <f t="shared" si="6"/>
        <v>48.3127648956783</v>
      </c>
      <c r="C258" s="165">
        <f t="shared" si="7"/>
        <v>54895.63177197322</v>
      </c>
      <c r="D258" s="145"/>
    </row>
    <row r="259" spans="1:4" ht="12.75">
      <c r="A259" s="163">
        <v>0.23</v>
      </c>
      <c r="B259" s="164">
        <f t="shared" si="6"/>
        <v>48.3158182430323</v>
      </c>
      <c r="C259" s="165">
        <f t="shared" si="7"/>
        <v>54896.83797523724</v>
      </c>
      <c r="D259" s="145"/>
    </row>
    <row r="260" spans="1:4" ht="12.75">
      <c r="A260" s="163">
        <v>0.231</v>
      </c>
      <c r="B260" s="164">
        <f t="shared" si="6"/>
        <v>48.3188641698647</v>
      </c>
      <c r="C260" s="165">
        <f t="shared" si="7"/>
        <v>54898.04245525695</v>
      </c>
      <c r="D260" s="145"/>
    </row>
    <row r="261" spans="1:4" ht="12.75">
      <c r="A261" s="163">
        <v>0.232</v>
      </c>
      <c r="B261" s="164">
        <f t="shared" si="6"/>
        <v>48.32190274495236</v>
      </c>
      <c r="C261" s="165">
        <f t="shared" si="7"/>
        <v>54899.245230437824</v>
      </c>
      <c r="D261" s="145"/>
    </row>
    <row r="262" spans="1:4" ht="12.75">
      <c r="A262" s="163">
        <v>0.233</v>
      </c>
      <c r="B262" s="164">
        <f t="shared" si="6"/>
        <v>48.324934036259016</v>
      </c>
      <c r="C262" s="165">
        <f t="shared" si="7"/>
        <v>54900.44631899277</v>
      </c>
      <c r="D262" s="145"/>
    </row>
    <row r="263" spans="1:4" ht="12.75">
      <c r="A263" s="163">
        <v>0.234</v>
      </c>
      <c r="B263" s="164">
        <f t="shared" si="6"/>
        <v>48.32795811094901</v>
      </c>
      <c r="C263" s="165">
        <f t="shared" si="7"/>
        <v>54901.64573894554</v>
      </c>
      <c r="D263" s="145"/>
    </row>
    <row r="264" spans="1:4" ht="12.75">
      <c r="A264" s="163">
        <v>0.235</v>
      </c>
      <c r="B264" s="164">
        <f t="shared" si="6"/>
        <v>48.33097503540062</v>
      </c>
      <c r="C264" s="165">
        <f t="shared" si="7"/>
        <v>54902.84350813367</v>
      </c>
      <c r="D264" s="145"/>
    </row>
    <row r="265" spans="1:4" ht="12.75">
      <c r="A265" s="163">
        <v>0.23600000000000002</v>
      </c>
      <c r="B265" s="164">
        <f t="shared" si="6"/>
        <v>48.33398487521914</v>
      </c>
      <c r="C265" s="165">
        <f t="shared" si="7"/>
        <v>54904.03964421154</v>
      </c>
      <c r="D265" s="145"/>
    </row>
    <row r="266" spans="1:4" ht="12.75">
      <c r="A266" s="163">
        <v>0.23700000000000002</v>
      </c>
      <c r="B266" s="164">
        <f t="shared" si="6"/>
        <v>48.336987695249725</v>
      </c>
      <c r="C266" s="165">
        <f t="shared" si="7"/>
        <v>54905.23416465337</v>
      </c>
      <c r="D266" s="145"/>
    </row>
    <row r="267" spans="1:4" ht="12.75">
      <c r="A267" s="163">
        <v>0.23800000000000002</v>
      </c>
      <c r="B267" s="164">
        <f t="shared" si="6"/>
        <v>48.33998355958994</v>
      </c>
      <c r="C267" s="165">
        <f t="shared" si="7"/>
        <v>54906.4270867562</v>
      </c>
      <c r="D267" s="145"/>
    </row>
    <row r="268" spans="1:4" ht="12.75">
      <c r="A268" s="163">
        <v>0.23900000000000002</v>
      </c>
      <c r="B268" s="164">
        <f t="shared" si="6"/>
        <v>48.342972531602065</v>
      </c>
      <c r="C268" s="165">
        <f t="shared" si="7"/>
        <v>54907.61842764268</v>
      </c>
      <c r="D268" s="145"/>
    </row>
    <row r="269" spans="1:4" ht="12.75">
      <c r="A269" s="163">
        <v>0.24</v>
      </c>
      <c r="B269" s="164">
        <f t="shared" si="6"/>
        <v>48.34595467392514</v>
      </c>
      <c r="C269" s="165">
        <f t="shared" si="7"/>
        <v>54908.808204263914</v>
      </c>
      <c r="D269" s="145"/>
    </row>
    <row r="270" spans="1:4" ht="12.75">
      <c r="A270" s="163">
        <v>0.241</v>
      </c>
      <c r="B270" s="164">
        <f t="shared" si="6"/>
        <v>48.348930048486814</v>
      </c>
      <c r="C270" s="165">
        <f t="shared" si="7"/>
        <v>54909.99643340218</v>
      </c>
      <c r="D270" s="145"/>
    </row>
    <row r="271" spans="1:4" ht="12.75">
      <c r="A271" s="163">
        <v>0.242</v>
      </c>
      <c r="B271" s="164">
        <f t="shared" si="6"/>
        <v>48.351898716514846</v>
      </c>
      <c r="C271" s="165">
        <f t="shared" si="7"/>
        <v>54911.18313167369</v>
      </c>
      <c r="D271" s="145"/>
    </row>
    <row r="272" spans="1:4" ht="12.75">
      <c r="A272" s="163">
        <v>0.243</v>
      </c>
      <c r="B272" s="164">
        <f t="shared" si="6"/>
        <v>48.354860738548524</v>
      </c>
      <c r="C272" s="165">
        <f t="shared" si="7"/>
        <v>54912.36831553119</v>
      </c>
      <c r="D272" s="145"/>
    </row>
    <row r="273" spans="1:4" ht="12.75">
      <c r="A273" s="163">
        <v>0.244</v>
      </c>
      <c r="B273" s="164">
        <f t="shared" si="6"/>
        <v>48.357816174449745</v>
      </c>
      <c r="C273" s="165">
        <f t="shared" si="7"/>
        <v>54913.55200126662</v>
      </c>
      <c r="D273" s="145"/>
    </row>
    <row r="274" spans="1:4" ht="12.75">
      <c r="A274" s="163">
        <v>0.245</v>
      </c>
      <c r="B274" s="164">
        <f t="shared" si="6"/>
        <v>48.3607650834139</v>
      </c>
      <c r="C274" s="165">
        <f t="shared" si="7"/>
        <v>54914.73420501358</v>
      </c>
      <c r="D274" s="145"/>
    </row>
    <row r="275" spans="1:4" ht="12.75">
      <c r="A275" s="163">
        <v>0.246</v>
      </c>
      <c r="B275" s="164">
        <f t="shared" si="6"/>
        <v>48.36370752398059</v>
      </c>
      <c r="C275" s="165">
        <f t="shared" si="7"/>
        <v>54915.914942749914</v>
      </c>
      <c r="D275" s="145"/>
    </row>
    <row r="276" spans="1:4" ht="12.75">
      <c r="A276" s="163">
        <v>0.247</v>
      </c>
      <c r="B276" s="164">
        <f t="shared" si="6"/>
        <v>48.366643554044046</v>
      </c>
      <c r="C276" s="165">
        <f t="shared" si="7"/>
        <v>54917.09423030012</v>
      </c>
      <c r="D276" s="145"/>
    </row>
    <row r="277" spans="1:4" ht="12.75">
      <c r="A277" s="163">
        <v>0.248</v>
      </c>
      <c r="B277" s="164">
        <f t="shared" si="6"/>
        <v>48.36957323086346</v>
      </c>
      <c r="C277" s="165">
        <f t="shared" si="7"/>
        <v>54918.27208333778</v>
      </c>
      <c r="D277" s="145"/>
    </row>
    <row r="278" spans="1:4" ht="12.75">
      <c r="A278" s="163">
        <v>0.249</v>
      </c>
      <c r="B278" s="164">
        <f t="shared" si="6"/>
        <v>48.372496611073</v>
      </c>
      <c r="C278" s="165">
        <f t="shared" si="7"/>
        <v>54919.44851738791</v>
      </c>
      <c r="D278" s="145"/>
    </row>
    <row r="279" spans="1:4" ht="12.75">
      <c r="A279" s="163">
        <v>0.25</v>
      </c>
      <c r="B279" s="164">
        <f t="shared" si="6"/>
        <v>48.37541375069168</v>
      </c>
      <c r="C279" s="165">
        <f t="shared" si="7"/>
        <v>54920.623547829295</v>
      </c>
      <c r="D279" s="145"/>
    </row>
    <row r="280" spans="1:4" ht="12.75">
      <c r="A280" s="163">
        <v>0.251</v>
      </c>
      <c r="B280" s="164">
        <f t="shared" si="6"/>
        <v>48.37832470513308</v>
      </c>
      <c r="C280" s="165">
        <f t="shared" si="7"/>
        <v>54921.79718989677</v>
      </c>
      <c r="D280" s="145"/>
    </row>
    <row r="281" spans="1:4" ht="12.75">
      <c r="A281" s="163">
        <v>0.252</v>
      </c>
      <c r="B281" s="164">
        <f t="shared" si="6"/>
        <v>48.38122952921479</v>
      </c>
      <c r="C281" s="165">
        <f t="shared" si="7"/>
        <v>54922.96945868349</v>
      </c>
      <c r="D281" s="145"/>
    </row>
    <row r="282" spans="1:4" ht="12.75">
      <c r="A282" s="163">
        <v>0.253</v>
      </c>
      <c r="B282" s="164">
        <f t="shared" si="6"/>
        <v>48.38412827716776</v>
      </c>
      <c r="C282" s="165">
        <f t="shared" si="7"/>
        <v>54924.140369142995</v>
      </c>
      <c r="D282" s="145"/>
    </row>
    <row r="283" spans="1:4" ht="12.75">
      <c r="A283" s="163">
        <v>0.254</v>
      </c>
      <c r="B283" s="164">
        <f t="shared" si="6"/>
        <v>48.3870210026454</v>
      </c>
      <c r="C283" s="165">
        <f t="shared" si="7"/>
        <v>54925.30993609152</v>
      </c>
      <c r="D283" s="145"/>
    </row>
    <row r="284" spans="1:4" ht="12.75">
      <c r="A284" s="163">
        <v>0.255</v>
      </c>
      <c r="B284" s="164">
        <f t="shared" si="6"/>
        <v>48.38990775873256</v>
      </c>
      <c r="C284" s="165">
        <f t="shared" si="7"/>
        <v>54926.478174210046</v>
      </c>
      <c r="D284" s="145"/>
    </row>
    <row r="285" spans="1:4" ht="12.75">
      <c r="A285" s="163">
        <v>0.256</v>
      </c>
      <c r="B285" s="164">
        <f t="shared" si="6"/>
        <v>48.39278859795432</v>
      </c>
      <c r="C285" s="165">
        <f t="shared" si="7"/>
        <v>54927.64509804639</v>
      </c>
      <c r="D285" s="145"/>
    </row>
    <row r="286" spans="1:4" ht="12.75">
      <c r="A286" s="163">
        <v>0.257</v>
      </c>
      <c r="B286" s="164">
        <f aca="true" t="shared" si="8" ref="B286:B349">$C$6+NORMSINV($A286)*$C$11*$C$6</f>
        <v>48.3956635722846</v>
      </c>
      <c r="C286" s="165">
        <f aca="true" t="shared" si="9" ref="C286:C349">EPortfolio($C$5+1/252,$B286,$C$7,$C$8,$C$9,,$C$10,$H$7:$L$10,0)</f>
        <v>54928.81072201723</v>
      </c>
      <c r="D286" s="145"/>
    </row>
    <row r="287" spans="1:4" ht="12.75">
      <c r="A287" s="163">
        <v>0.258</v>
      </c>
      <c r="B287" s="164">
        <f t="shared" si="8"/>
        <v>48.398532733154624</v>
      </c>
      <c r="C287" s="165">
        <f t="shared" si="9"/>
        <v>54929.97506041009</v>
      </c>
      <c r="D287" s="145"/>
    </row>
    <row r="288" spans="1:4" ht="12.75">
      <c r="A288" s="163">
        <v>0.259</v>
      </c>
      <c r="B288" s="164">
        <f t="shared" si="8"/>
        <v>48.401396131461226</v>
      </c>
      <c r="C288" s="165">
        <f t="shared" si="9"/>
        <v>54931.13812738543</v>
      </c>
      <c r="D288" s="145"/>
    </row>
    <row r="289" spans="1:4" ht="12.75">
      <c r="A289" s="163">
        <v>0.26</v>
      </c>
      <c r="B289" s="164">
        <f t="shared" si="8"/>
        <v>48.40425381757501</v>
      </c>
      <c r="C289" s="165">
        <f t="shared" si="9"/>
        <v>54932.29993697839</v>
      </c>
      <c r="D289" s="145"/>
    </row>
    <row r="290" spans="1:4" ht="12.75">
      <c r="A290" s="163">
        <v>0.261</v>
      </c>
      <c r="B290" s="164">
        <f t="shared" si="8"/>
        <v>48.40710584134832</v>
      </c>
      <c r="C290" s="165">
        <f t="shared" si="9"/>
        <v>54933.46050310082</v>
      </c>
      <c r="D290" s="145"/>
    </row>
    <row r="291" spans="1:4" ht="12.75">
      <c r="A291" s="163">
        <v>0.262</v>
      </c>
      <c r="B291" s="164">
        <f t="shared" si="8"/>
        <v>48.40995225212312</v>
      </c>
      <c r="C291" s="165">
        <f t="shared" si="9"/>
        <v>54934.61983954315</v>
      </c>
      <c r="D291" s="145"/>
    </row>
    <row r="292" spans="1:4" ht="12.75">
      <c r="A292" s="163">
        <v>0.263</v>
      </c>
      <c r="B292" s="164">
        <f t="shared" si="8"/>
        <v>48.41279309873867</v>
      </c>
      <c r="C292" s="165">
        <f t="shared" si="9"/>
        <v>54935.77795997617</v>
      </c>
      <c r="D292" s="145"/>
    </row>
    <row r="293" spans="1:4" ht="12.75">
      <c r="A293" s="163">
        <v>0.264</v>
      </c>
      <c r="B293" s="164">
        <f t="shared" si="8"/>
        <v>48.41562842953911</v>
      </c>
      <c r="C293" s="165">
        <f t="shared" si="9"/>
        <v>54936.93487795288</v>
      </c>
      <c r="D293" s="145"/>
    </row>
    <row r="294" spans="1:4" ht="12.75">
      <c r="A294" s="163">
        <v>0.265</v>
      </c>
      <c r="B294" s="164">
        <f t="shared" si="8"/>
        <v>48.418458292380876</v>
      </c>
      <c r="C294" s="165">
        <f t="shared" si="9"/>
        <v>54938.09060691016</v>
      </c>
      <c r="D294" s="145"/>
    </row>
    <row r="295" spans="1:4" ht="12.75">
      <c r="A295" s="163">
        <v>0.266</v>
      </c>
      <c r="B295" s="164">
        <f t="shared" si="8"/>
        <v>48.42128273463998</v>
      </c>
      <c r="C295" s="165">
        <f t="shared" si="9"/>
        <v>54939.24516017069</v>
      </c>
      <c r="D295" s="145"/>
    </row>
    <row r="296" spans="1:4" ht="12.75">
      <c r="A296" s="163">
        <v>0.267</v>
      </c>
      <c r="B296" s="164">
        <f t="shared" si="8"/>
        <v>48.4241018032192</v>
      </c>
      <c r="C296" s="165">
        <f t="shared" si="9"/>
        <v>54940.3985509445</v>
      </c>
      <c r="D296" s="145"/>
    </row>
    <row r="297" spans="1:4" ht="12.75">
      <c r="A297" s="163">
        <v>0.268</v>
      </c>
      <c r="B297" s="164">
        <f t="shared" si="8"/>
        <v>48.42691554455508</v>
      </c>
      <c r="C297" s="165">
        <f t="shared" si="9"/>
        <v>54941.550792330694</v>
      </c>
      <c r="D297" s="145"/>
    </row>
    <row r="298" spans="1:4" ht="12.75">
      <c r="A298" s="163">
        <v>0.269</v>
      </c>
      <c r="B298" s="164">
        <f t="shared" si="8"/>
        <v>48.42972400462482</v>
      </c>
      <c r="C298" s="165">
        <f t="shared" si="9"/>
        <v>54942.70189731913</v>
      </c>
      <c r="D298" s="145"/>
    </row>
    <row r="299" spans="1:4" ht="12.75">
      <c r="A299" s="163">
        <v>0.27</v>
      </c>
      <c r="B299" s="164">
        <f t="shared" si="8"/>
        <v>48.43252722895312</v>
      </c>
      <c r="C299" s="165">
        <f t="shared" si="9"/>
        <v>54943.85187879208</v>
      </c>
      <c r="D299" s="145"/>
    </row>
    <row r="300" spans="1:4" ht="12.75">
      <c r="A300" s="163">
        <v>0.271</v>
      </c>
      <c r="B300" s="164">
        <f t="shared" si="8"/>
        <v>48.43532526261875</v>
      </c>
      <c r="C300" s="165">
        <f t="shared" si="9"/>
        <v>54945.000749525694</v>
      </c>
      <c r="D300" s="145"/>
    </row>
    <row r="301" spans="1:4" ht="12.75">
      <c r="A301" s="163">
        <v>0.272</v>
      </c>
      <c r="B301" s="164">
        <f t="shared" si="8"/>
        <v>48.438118150261154</v>
      </c>
      <c r="C301" s="165">
        <f t="shared" si="9"/>
        <v>54946.14852219174</v>
      </c>
      <c r="D301" s="145"/>
    </row>
    <row r="302" spans="1:4" ht="12.75">
      <c r="A302" s="163">
        <v>0.273</v>
      </c>
      <c r="B302" s="164">
        <f t="shared" si="8"/>
        <v>48.44090593608685</v>
      </c>
      <c r="C302" s="165">
        <f t="shared" si="9"/>
        <v>54947.29520935902</v>
      </c>
      <c r="D302" s="145"/>
    </row>
    <row r="303" spans="1:4" ht="12.75">
      <c r="A303" s="163">
        <v>0.274</v>
      </c>
      <c r="B303" s="164">
        <f t="shared" si="8"/>
        <v>48.44368866387575</v>
      </c>
      <c r="C303" s="165">
        <f t="shared" si="9"/>
        <v>54948.44082349492</v>
      </c>
      <c r="D303" s="145"/>
    </row>
    <row r="304" spans="1:4" ht="12.75">
      <c r="A304" s="163">
        <v>0.275</v>
      </c>
      <c r="B304" s="164">
        <f t="shared" si="8"/>
        <v>48.446466376987345</v>
      </c>
      <c r="C304" s="165">
        <f t="shared" si="9"/>
        <v>54949.58537696698</v>
      </c>
      <c r="D304" s="145"/>
    </row>
    <row r="305" spans="1:4" ht="12.75">
      <c r="A305" s="163">
        <v>0.276</v>
      </c>
      <c r="B305" s="164">
        <f t="shared" si="8"/>
        <v>48.449239118366805</v>
      </c>
      <c r="C305" s="165">
        <f t="shared" si="9"/>
        <v>54950.72888204421</v>
      </c>
      <c r="D305" s="145"/>
    </row>
    <row r="306" spans="1:4" ht="12.75">
      <c r="A306" s="163">
        <v>0.277</v>
      </c>
      <c r="B306" s="164">
        <f t="shared" si="8"/>
        <v>48.452006930550986</v>
      </c>
      <c r="C306" s="165">
        <f t="shared" si="9"/>
        <v>54951.871350898684</v>
      </c>
      <c r="D306" s="145"/>
    </row>
    <row r="307" spans="1:4" ht="12.75">
      <c r="A307" s="163">
        <v>0.278</v>
      </c>
      <c r="B307" s="164">
        <f t="shared" si="8"/>
        <v>48.454769855674265</v>
      </c>
      <c r="C307" s="165">
        <f t="shared" si="9"/>
        <v>54953.01279560688</v>
      </c>
      <c r="D307" s="145"/>
    </row>
    <row r="308" spans="1:4" ht="12.75">
      <c r="A308" s="163">
        <v>0.279</v>
      </c>
      <c r="B308" s="164">
        <f t="shared" si="8"/>
        <v>48.45752793547437</v>
      </c>
      <c r="C308" s="165">
        <f t="shared" si="9"/>
        <v>54954.15322815114</v>
      </c>
      <c r="D308" s="145"/>
    </row>
    <row r="309" spans="1:4" ht="12.75">
      <c r="A309" s="163">
        <v>0.28</v>
      </c>
      <c r="B309" s="164">
        <f t="shared" si="8"/>
        <v>48.46028121129801</v>
      </c>
      <c r="C309" s="165">
        <f t="shared" si="9"/>
        <v>54955.29266042092</v>
      </c>
      <c r="D309" s="145"/>
    </row>
    <row r="310" spans="1:4" ht="12.75">
      <c r="A310" s="163">
        <v>0.281</v>
      </c>
      <c r="B310" s="164">
        <f t="shared" si="8"/>
        <v>48.463029724106526</v>
      </c>
      <c r="C310" s="165">
        <f t="shared" si="9"/>
        <v>54956.43110421432</v>
      </c>
      <c r="D310" s="145"/>
    </row>
    <row r="311" spans="1:4" ht="12.75">
      <c r="A311" s="163">
        <v>0.28200000000000003</v>
      </c>
      <c r="B311" s="164">
        <f t="shared" si="8"/>
        <v>48.465773514481306</v>
      </c>
      <c r="C311" s="165">
        <f t="shared" si="9"/>
        <v>54957.56857123924</v>
      </c>
      <c r="D311" s="145"/>
    </row>
    <row r="312" spans="1:4" ht="12.75">
      <c r="A312" s="163">
        <v>0.28300000000000003</v>
      </c>
      <c r="B312" s="164">
        <f t="shared" si="8"/>
        <v>48.46851262262923</v>
      </c>
      <c r="C312" s="165">
        <f t="shared" si="9"/>
        <v>54958.705073114834</v>
      </c>
      <c r="D312" s="145"/>
    </row>
    <row r="313" spans="1:4" ht="12.75">
      <c r="A313" s="163">
        <v>0.28400000000000003</v>
      </c>
      <c r="B313" s="164">
        <f t="shared" si="8"/>
        <v>48.47124708838794</v>
      </c>
      <c r="C313" s="165">
        <f t="shared" si="9"/>
        <v>54959.8406213727</v>
      </c>
      <c r="D313" s="145"/>
    </row>
    <row r="314" spans="1:4" ht="12.75">
      <c r="A314" s="163">
        <v>0.285</v>
      </c>
      <c r="B314" s="164">
        <f t="shared" si="8"/>
        <v>48.4739769512311</v>
      </c>
      <c r="C314" s="165">
        <f t="shared" si="9"/>
        <v>54960.9752274582</v>
      </c>
      <c r="D314" s="145"/>
    </row>
    <row r="315" spans="1:4" ht="12.75">
      <c r="A315" s="163">
        <v>0.28600000000000003</v>
      </c>
      <c r="B315" s="164">
        <f t="shared" si="8"/>
        <v>48.47670225027346</v>
      </c>
      <c r="C315" s="165">
        <f t="shared" si="9"/>
        <v>54962.10890273171</v>
      </c>
      <c r="D315" s="145"/>
    </row>
    <row r="316" spans="1:4" ht="12.75">
      <c r="A316" s="163">
        <v>0.28700000000000003</v>
      </c>
      <c r="B316" s="164">
        <f t="shared" si="8"/>
        <v>48.47942302427596</v>
      </c>
      <c r="C316" s="165">
        <f t="shared" si="9"/>
        <v>54963.24165846981</v>
      </c>
      <c r="D316" s="145"/>
    </row>
    <row r="317" spans="1:4" ht="12.75">
      <c r="A317" s="163">
        <v>0.28800000000000003</v>
      </c>
      <c r="B317" s="164">
        <f t="shared" si="8"/>
        <v>48.48213931165063</v>
      </c>
      <c r="C317" s="165">
        <f t="shared" si="9"/>
        <v>54964.373505866504</v>
      </c>
      <c r="D317" s="145"/>
    </row>
    <row r="318" spans="1:4" ht="12.75">
      <c r="A318" s="163">
        <v>0.28900000000000003</v>
      </c>
      <c r="B318" s="164">
        <f t="shared" si="8"/>
        <v>48.48485115046549</v>
      </c>
      <c r="C318" s="165">
        <f t="shared" si="9"/>
        <v>54965.504456034454</v>
      </c>
      <c r="D318" s="145"/>
    </row>
    <row r="319" spans="1:4" ht="12.75">
      <c r="A319" s="163">
        <v>0.29</v>
      </c>
      <c r="B319" s="164">
        <f t="shared" si="8"/>
        <v>48.48755857844937</v>
      </c>
      <c r="C319" s="165">
        <f t="shared" si="9"/>
        <v>54966.63452000613</v>
      </c>
      <c r="D319" s="145"/>
    </row>
    <row r="320" spans="1:4" ht="12.75">
      <c r="A320" s="163">
        <v>0.291</v>
      </c>
      <c r="B320" s="164">
        <f t="shared" si="8"/>
        <v>48.49026163299656</v>
      </c>
      <c r="C320" s="165">
        <f t="shared" si="9"/>
        <v>54967.76370873495</v>
      </c>
      <c r="D320" s="145"/>
    </row>
    <row r="321" spans="1:4" ht="12.75">
      <c r="A321" s="163">
        <v>0.292</v>
      </c>
      <c r="B321" s="164">
        <f t="shared" si="8"/>
        <v>48.49296035117152</v>
      </c>
      <c r="C321" s="165">
        <f t="shared" si="9"/>
        <v>54968.89203309638</v>
      </c>
      <c r="D321" s="145"/>
    </row>
    <row r="322" spans="1:4" ht="12.75">
      <c r="A322" s="163">
        <v>0.293</v>
      </c>
      <c r="B322" s="164">
        <f t="shared" si="8"/>
        <v>48.49565476971338</v>
      </c>
      <c r="C322" s="165">
        <f t="shared" si="9"/>
        <v>54970.019503889154</v>
      </c>
      <c r="D322" s="145"/>
    </row>
    <row r="323" spans="1:4" ht="12.75">
      <c r="A323" s="163">
        <v>0.294</v>
      </c>
      <c r="B323" s="164">
        <f t="shared" si="8"/>
        <v>48.49834492504046</v>
      </c>
      <c r="C323" s="165">
        <f t="shared" si="9"/>
        <v>54971.146131836314</v>
      </c>
      <c r="D323" s="145"/>
    </row>
    <row r="324" spans="1:4" ht="12.75">
      <c r="A324" s="163">
        <v>0.295</v>
      </c>
      <c r="B324" s="164">
        <f t="shared" si="8"/>
        <v>48.50103085325468</v>
      </c>
      <c r="C324" s="165">
        <f t="shared" si="9"/>
        <v>54972.27192758629</v>
      </c>
      <c r="D324" s="145"/>
    </row>
    <row r="325" spans="1:4" ht="12.75">
      <c r="A325" s="163">
        <v>0.296</v>
      </c>
      <c r="B325" s="164">
        <f t="shared" si="8"/>
        <v>48.503712590145895</v>
      </c>
      <c r="C325" s="165">
        <f t="shared" si="9"/>
        <v>54973.39690171393</v>
      </c>
      <c r="D325" s="145"/>
    </row>
    <row r="326" spans="1:4" ht="12.75">
      <c r="A326" s="163">
        <v>0.297</v>
      </c>
      <c r="B326" s="164">
        <f t="shared" si="8"/>
        <v>48.50639017119616</v>
      </c>
      <c r="C326" s="165">
        <f t="shared" si="9"/>
        <v>54974.52106472172</v>
      </c>
      <c r="D326" s="145"/>
    </row>
    <row r="327" spans="1:4" ht="12.75">
      <c r="A327" s="163">
        <v>0.298</v>
      </c>
      <c r="B327" s="164">
        <f t="shared" si="8"/>
        <v>48.50906363158396</v>
      </c>
      <c r="C327" s="165">
        <f t="shared" si="9"/>
        <v>54975.64442704062</v>
      </c>
      <c r="D327" s="145"/>
    </row>
    <row r="328" spans="1:4" ht="12.75">
      <c r="A328" s="163">
        <v>0.299</v>
      </c>
      <c r="B328" s="164">
        <f t="shared" si="8"/>
        <v>48.51173300618833</v>
      </c>
      <c r="C328" s="165">
        <f t="shared" si="9"/>
        <v>54976.76699903117</v>
      </c>
      <c r="D328" s="145"/>
    </row>
    <row r="329" spans="1:4" ht="12.75">
      <c r="A329" s="163">
        <v>0.3</v>
      </c>
      <c r="B329" s="164">
        <f t="shared" si="8"/>
        <v>48.514398329592915</v>
      </c>
      <c r="C329" s="165">
        <f t="shared" si="9"/>
        <v>54977.88879098459</v>
      </c>
      <c r="D329" s="145"/>
    </row>
    <row r="330" spans="1:4" ht="12.75">
      <c r="A330" s="163">
        <v>0.301</v>
      </c>
      <c r="B330" s="164">
        <f t="shared" si="8"/>
        <v>48.51705963609</v>
      </c>
      <c r="C330" s="165">
        <f t="shared" si="9"/>
        <v>54979.00981312356</v>
      </c>
      <c r="D330" s="145"/>
    </row>
    <row r="331" spans="1:4" ht="12.75">
      <c r="A331" s="163">
        <v>0.302</v>
      </c>
      <c r="B331" s="164">
        <f t="shared" si="8"/>
        <v>48.51971695968445</v>
      </c>
      <c r="C331" s="165">
        <f t="shared" si="9"/>
        <v>54980.13007560339</v>
      </c>
      <c r="D331" s="145"/>
    </row>
    <row r="332" spans="1:4" ht="12.75">
      <c r="A332" s="163">
        <v>0.303</v>
      </c>
      <c r="B332" s="164">
        <f t="shared" si="8"/>
        <v>48.52237033409756</v>
      </c>
      <c r="C332" s="165">
        <f t="shared" si="9"/>
        <v>54981.24958851293</v>
      </c>
      <c r="D332" s="145"/>
    </row>
    <row r="333" spans="1:4" ht="12.75">
      <c r="A333" s="163">
        <v>0.304</v>
      </c>
      <c r="B333" s="164">
        <f t="shared" si="8"/>
        <v>48.52501979277091</v>
      </c>
      <c r="C333" s="165">
        <f t="shared" si="9"/>
        <v>54982.368361875444</v>
      </c>
      <c r="D333" s="145"/>
    </row>
    <row r="334" spans="1:4" ht="12.75">
      <c r="A334" s="163">
        <v>0.305</v>
      </c>
      <c r="B334" s="164">
        <f t="shared" si="8"/>
        <v>48.52766536887013</v>
      </c>
      <c r="C334" s="165">
        <f t="shared" si="9"/>
        <v>54983.486405649666</v>
      </c>
      <c r="D334" s="145"/>
    </row>
    <row r="335" spans="1:4" ht="12.75">
      <c r="A335" s="163">
        <v>0.306</v>
      </c>
      <c r="B335" s="164">
        <f t="shared" si="8"/>
        <v>48.53030709528856</v>
      </c>
      <c r="C335" s="165">
        <f t="shared" si="9"/>
        <v>54984.60372973062</v>
      </c>
      <c r="D335" s="145"/>
    </row>
    <row r="336" spans="1:4" ht="12.75">
      <c r="A336" s="163">
        <v>0.307</v>
      </c>
      <c r="B336" s="164">
        <f t="shared" si="8"/>
        <v>48.53294500465094</v>
      </c>
      <c r="C336" s="165">
        <f t="shared" si="9"/>
        <v>54985.72034395058</v>
      </c>
      <c r="D336" s="145"/>
    </row>
    <row r="337" spans="1:4" ht="12.75">
      <c r="A337" s="163">
        <v>0.308</v>
      </c>
      <c r="B337" s="164">
        <f t="shared" si="8"/>
        <v>48.53557912931697</v>
      </c>
      <c r="C337" s="165">
        <f t="shared" si="9"/>
        <v>54986.836258079995</v>
      </c>
      <c r="D337" s="145"/>
    </row>
    <row r="338" spans="1:4" ht="12.75">
      <c r="A338" s="163">
        <v>0.309</v>
      </c>
      <c r="B338" s="164">
        <f t="shared" si="8"/>
        <v>48.53820950138485</v>
      </c>
      <c r="C338" s="165">
        <f t="shared" si="9"/>
        <v>54987.95148182827</v>
      </c>
      <c r="D338" s="145"/>
    </row>
    <row r="339" spans="1:4" ht="12.75">
      <c r="A339" s="163">
        <v>0.31</v>
      </c>
      <c r="B339" s="164">
        <f t="shared" si="8"/>
        <v>48.54083615269477</v>
      </c>
      <c r="C339" s="165">
        <f t="shared" si="9"/>
        <v>54989.06602484476</v>
      </c>
      <c r="D339" s="145"/>
    </row>
    <row r="340" spans="1:4" ht="12.75">
      <c r="A340" s="163">
        <v>0.311</v>
      </c>
      <c r="B340" s="164">
        <f t="shared" si="8"/>
        <v>48.54345911483234</v>
      </c>
      <c r="C340" s="165">
        <f t="shared" si="9"/>
        <v>54990.17989671956</v>
      </c>
      <c r="D340" s="145"/>
    </row>
    <row r="341" spans="1:4" ht="12.75">
      <c r="A341" s="163">
        <v>0.312</v>
      </c>
      <c r="B341" s="164">
        <f t="shared" si="8"/>
        <v>48.54607841913191</v>
      </c>
      <c r="C341" s="165">
        <f t="shared" si="9"/>
        <v>54991.29310698434</v>
      </c>
      <c r="D341" s="145"/>
    </row>
    <row r="342" spans="1:4" ht="12.75">
      <c r="A342" s="163">
        <v>0.313</v>
      </c>
      <c r="B342" s="164">
        <f t="shared" si="8"/>
        <v>48.54869409667998</v>
      </c>
      <c r="C342" s="165">
        <f t="shared" si="9"/>
        <v>54992.40566511322</v>
      </c>
      <c r="D342" s="145"/>
    </row>
    <row r="343" spans="1:4" ht="12.75">
      <c r="A343" s="163">
        <v>0.314</v>
      </c>
      <c r="B343" s="164">
        <f t="shared" si="8"/>
        <v>48.55130617831841</v>
      </c>
      <c r="C343" s="165">
        <f t="shared" si="9"/>
        <v>54993.517580523585</v>
      </c>
      <c r="D343" s="145"/>
    </row>
    <row r="344" spans="1:4" ht="12.75">
      <c r="A344" s="163">
        <v>0.315</v>
      </c>
      <c r="B344" s="164">
        <f t="shared" si="8"/>
        <v>48.553914694647666</v>
      </c>
      <c r="C344" s="165">
        <f t="shared" si="9"/>
        <v>54994.62886257689</v>
      </c>
      <c r="D344" s="145"/>
    </row>
    <row r="345" spans="1:4" ht="12.75">
      <c r="A345" s="163">
        <v>0.316</v>
      </c>
      <c r="B345" s="164">
        <f t="shared" si="8"/>
        <v>48.55651967602998</v>
      </c>
      <c r="C345" s="165">
        <f t="shared" si="9"/>
        <v>54995.73952057947</v>
      </c>
      <c r="D345" s="145"/>
    </row>
    <row r="346" spans="1:4" ht="12.75">
      <c r="A346" s="163">
        <v>0.317</v>
      </c>
      <c r="B346" s="164">
        <f t="shared" si="8"/>
        <v>48.55912115259251</v>
      </c>
      <c r="C346" s="165">
        <f t="shared" si="9"/>
        <v>54996.849563783275</v>
      </c>
      <c r="D346" s="145"/>
    </row>
    <row r="347" spans="1:4" ht="12.75">
      <c r="A347" s="163">
        <v>0.318</v>
      </c>
      <c r="B347" s="164">
        <f t="shared" si="8"/>
        <v>48.56171915423038</v>
      </c>
      <c r="C347" s="165">
        <f t="shared" si="9"/>
        <v>54997.959001386786</v>
      </c>
      <c r="D347" s="145"/>
    </row>
    <row r="348" spans="1:4" ht="12.75">
      <c r="A348" s="163">
        <v>0.319</v>
      </c>
      <c r="B348" s="164">
        <f t="shared" si="8"/>
        <v>48.56431371060975</v>
      </c>
      <c r="C348" s="165">
        <f t="shared" si="9"/>
        <v>54999.06784253562</v>
      </c>
      <c r="D348" s="145"/>
    </row>
    <row r="349" spans="1:4" ht="12.75">
      <c r="A349" s="163">
        <v>0.32</v>
      </c>
      <c r="B349" s="164">
        <f t="shared" si="8"/>
        <v>48.56690485117081</v>
      </c>
      <c r="C349" s="165">
        <f t="shared" si="9"/>
        <v>55000.17609632343</v>
      </c>
      <c r="D349" s="145"/>
    </row>
    <row r="350" spans="1:4" ht="12.75">
      <c r="A350" s="163">
        <v>0.321</v>
      </c>
      <c r="B350" s="164">
        <f aca="true" t="shared" si="10" ref="B350:B413">$C$6+NORMSINV($A350)*$C$11*$C$6</f>
        <v>48.56949260513068</v>
      </c>
      <c r="C350" s="165">
        <f aca="true" t="shared" si="11" ref="C350:C413">EPortfolio($C$5+1/252,$B350,$C$7,$C$8,$C$9,,$C$10,$H$7:$L$10,0)</f>
        <v>55001.28377179251</v>
      </c>
      <c r="D350" s="145"/>
    </row>
    <row r="351" spans="1:4" ht="12.75">
      <c r="A351" s="163">
        <v>0.322</v>
      </c>
      <c r="B351" s="164">
        <f t="shared" si="10"/>
        <v>48.57207700148637</v>
      </c>
      <c r="C351" s="165">
        <f t="shared" si="11"/>
        <v>55002.39087793472</v>
      </c>
      <c r="D351" s="145"/>
    </row>
    <row r="352" spans="1:4" ht="12.75">
      <c r="A352" s="163">
        <v>0.323</v>
      </c>
      <c r="B352" s="164">
        <f t="shared" si="10"/>
        <v>48.57465806901762</v>
      </c>
      <c r="C352" s="165">
        <f t="shared" si="11"/>
        <v>55003.497423692024</v>
      </c>
      <c r="D352" s="145"/>
    </row>
    <row r="353" spans="1:4" ht="12.75">
      <c r="A353" s="163">
        <v>0.324</v>
      </c>
      <c r="B353" s="164">
        <f t="shared" si="10"/>
        <v>48.57723583628972</v>
      </c>
      <c r="C353" s="165">
        <f t="shared" si="11"/>
        <v>55004.603417957325</v>
      </c>
      <c r="D353" s="145"/>
    </row>
    <row r="354" spans="1:4" ht="12.75">
      <c r="A354" s="163">
        <v>0.325</v>
      </c>
      <c r="B354" s="164">
        <f t="shared" si="10"/>
        <v>48.579810331656276</v>
      </c>
      <c r="C354" s="165">
        <f t="shared" si="11"/>
        <v>55005.70886957519</v>
      </c>
      <c r="D354" s="145"/>
    </row>
    <row r="355" spans="1:4" ht="12.75">
      <c r="A355" s="163">
        <v>0.326</v>
      </c>
      <c r="B355" s="164">
        <f t="shared" si="10"/>
        <v>48.58238158326199</v>
      </c>
      <c r="C355" s="165">
        <f t="shared" si="11"/>
        <v>55006.81378734241</v>
      </c>
      <c r="D355" s="145"/>
    </row>
    <row r="356" spans="1:4" ht="12.75">
      <c r="A356" s="163">
        <v>0.327</v>
      </c>
      <c r="B356" s="164">
        <f t="shared" si="10"/>
        <v>48.584949619045325</v>
      </c>
      <c r="C356" s="165">
        <f t="shared" si="11"/>
        <v>55007.91818000891</v>
      </c>
      <c r="D356" s="145"/>
    </row>
    <row r="357" spans="1:4" ht="12.75">
      <c r="A357" s="163">
        <v>0.328</v>
      </c>
      <c r="B357" s="164">
        <f t="shared" si="10"/>
        <v>48.587514466741176</v>
      </c>
      <c r="C357" s="165">
        <f t="shared" si="11"/>
        <v>55009.02205627825</v>
      </c>
      <c r="D357" s="145"/>
    </row>
    <row r="358" spans="1:4" ht="12.75">
      <c r="A358" s="163">
        <v>0.329</v>
      </c>
      <c r="B358" s="164">
        <f t="shared" si="10"/>
        <v>48.5900761538835</v>
      </c>
      <c r="C358" s="165">
        <f t="shared" si="11"/>
        <v>55010.125424808386</v>
      </c>
      <c r="D358" s="145"/>
    </row>
    <row r="359" spans="1:4" ht="12.75">
      <c r="A359" s="163">
        <v>0.33</v>
      </c>
      <c r="B359" s="164">
        <f t="shared" si="10"/>
        <v>48.59263470780791</v>
      </c>
      <c r="C359" s="165">
        <f t="shared" si="11"/>
        <v>55011.22829421229</v>
      </c>
      <c r="D359" s="145"/>
    </row>
    <row r="360" spans="1:4" ht="12.75">
      <c r="A360" s="163">
        <v>0.331</v>
      </c>
      <c r="B360" s="164">
        <f t="shared" si="10"/>
        <v>48.595190155654215</v>
      </c>
      <c r="C360" s="165">
        <f t="shared" si="11"/>
        <v>55012.33067305864</v>
      </c>
      <c r="D360" s="145"/>
    </row>
    <row r="361" spans="1:4" ht="12.75">
      <c r="A361" s="163">
        <v>0.332</v>
      </c>
      <c r="B361" s="164">
        <f t="shared" si="10"/>
        <v>48.59774252436892</v>
      </c>
      <c r="C361" s="165">
        <f t="shared" si="11"/>
        <v>55013.432569872486</v>
      </c>
      <c r="D361" s="145"/>
    </row>
    <row r="362" spans="1:4" ht="12.75">
      <c r="A362" s="163">
        <v>0.333</v>
      </c>
      <c r="B362" s="164">
        <f t="shared" si="10"/>
        <v>48.60029184070775</v>
      </c>
      <c r="C362" s="165">
        <f t="shared" si="11"/>
        <v>55014.53399313586</v>
      </c>
      <c r="D362" s="145"/>
    </row>
    <row r="363" spans="1:4" ht="12.75">
      <c r="A363" s="163">
        <v>0.334</v>
      </c>
      <c r="B363" s="164">
        <f t="shared" si="10"/>
        <v>48.60283813123805</v>
      </c>
      <c r="C363" s="165">
        <f t="shared" si="11"/>
        <v>55015.63495128843</v>
      </c>
      <c r="D363" s="145"/>
    </row>
    <row r="364" spans="1:4" ht="12.75">
      <c r="A364" s="163">
        <v>0.335</v>
      </c>
      <c r="B364" s="164">
        <f t="shared" si="10"/>
        <v>48.60538142234123</v>
      </c>
      <c r="C364" s="165">
        <f t="shared" si="11"/>
        <v>55016.735452728106</v>
      </c>
      <c r="D364" s="145"/>
    </row>
    <row r="365" spans="1:4" ht="12.75">
      <c r="A365" s="163">
        <v>0.336</v>
      </c>
      <c r="B365" s="164">
        <f t="shared" si="10"/>
        <v>48.607921740215126</v>
      </c>
      <c r="C365" s="165">
        <f t="shared" si="11"/>
        <v>55017.835505811665</v>
      </c>
      <c r="D365" s="145"/>
    </row>
    <row r="366" spans="1:4" ht="12.75">
      <c r="A366" s="163">
        <v>0.337</v>
      </c>
      <c r="B366" s="164">
        <f t="shared" si="10"/>
        <v>48.61045911087635</v>
      </c>
      <c r="C366" s="165">
        <f t="shared" si="11"/>
        <v>55018.93511885534</v>
      </c>
      <c r="D366" s="145"/>
    </row>
    <row r="367" spans="1:4" ht="12.75">
      <c r="A367" s="163">
        <v>0.338</v>
      </c>
      <c r="B367" s="164">
        <f t="shared" si="10"/>
        <v>48.61299356016261</v>
      </c>
      <c r="C367" s="165">
        <f t="shared" si="11"/>
        <v>55020.03430013553</v>
      </c>
      <c r="D367" s="145"/>
    </row>
    <row r="368" spans="1:4" ht="12.75">
      <c r="A368" s="163">
        <v>0.339</v>
      </c>
      <c r="B368" s="164">
        <f t="shared" si="10"/>
        <v>48.61552511373496</v>
      </c>
      <c r="C368" s="165">
        <f t="shared" si="11"/>
        <v>55021.13305788926</v>
      </c>
      <c r="D368" s="145"/>
    </row>
    <row r="369" spans="1:4" ht="12.75">
      <c r="A369" s="163">
        <v>0.34</v>
      </c>
      <c r="B369" s="164">
        <f t="shared" si="10"/>
        <v>48.61805379708011</v>
      </c>
      <c r="C369" s="165">
        <f t="shared" si="11"/>
        <v>55022.2314003148</v>
      </c>
      <c r="D369" s="145"/>
    </row>
    <row r="370" spans="1:4" ht="12.75">
      <c r="A370" s="163">
        <v>0.341</v>
      </c>
      <c r="B370" s="164">
        <f t="shared" si="10"/>
        <v>48.6205796355126</v>
      </c>
      <c r="C370" s="165">
        <f t="shared" si="11"/>
        <v>55023.32933557236</v>
      </c>
      <c r="D370" s="145"/>
    </row>
    <row r="371" spans="1:4" ht="12.75">
      <c r="A371" s="163">
        <v>0.342</v>
      </c>
      <c r="B371" s="164">
        <f t="shared" si="10"/>
        <v>48.62310265417701</v>
      </c>
      <c r="C371" s="165">
        <f t="shared" si="11"/>
        <v>55024.42687178449</v>
      </c>
      <c r="D371" s="145"/>
    </row>
    <row r="372" spans="1:4" ht="12.75">
      <c r="A372" s="163">
        <v>0.343</v>
      </c>
      <c r="B372" s="164">
        <f t="shared" si="10"/>
        <v>48.62562287805011</v>
      </c>
      <c r="C372" s="165">
        <f t="shared" si="11"/>
        <v>55025.52401703682</v>
      </c>
      <c r="D372" s="145"/>
    </row>
    <row r="373" spans="1:4" ht="12.75">
      <c r="A373" s="163">
        <v>0.34400000000000003</v>
      </c>
      <c r="B373" s="164">
        <f t="shared" si="10"/>
        <v>48.628140331942994</v>
      </c>
      <c r="C373" s="165">
        <f t="shared" si="11"/>
        <v>55026.62077937846</v>
      </c>
      <c r="D373" s="145"/>
    </row>
    <row r="374" spans="1:4" ht="12.75">
      <c r="A374" s="163">
        <v>0.345</v>
      </c>
      <c r="B374" s="164">
        <f t="shared" si="10"/>
        <v>48.630655040503214</v>
      </c>
      <c r="C374" s="165">
        <f t="shared" si="11"/>
        <v>55027.71716682275</v>
      </c>
      <c r="D374" s="145"/>
    </row>
    <row r="375" spans="1:4" ht="12.75">
      <c r="A375" s="163">
        <v>0.34600000000000003</v>
      </c>
      <c r="B375" s="164">
        <f t="shared" si="10"/>
        <v>48.6331670282168</v>
      </c>
      <c r="C375" s="165">
        <f t="shared" si="11"/>
        <v>55028.81318734757</v>
      </c>
      <c r="D375" s="145"/>
    </row>
    <row r="376" spans="1:4" ht="12.75">
      <c r="A376" s="163">
        <v>0.34700000000000003</v>
      </c>
      <c r="B376" s="164">
        <f t="shared" si="10"/>
        <v>48.63567631941038</v>
      </c>
      <c r="C376" s="165">
        <f t="shared" si="11"/>
        <v>55029.908848896106</v>
      </c>
      <c r="D376" s="145"/>
    </row>
    <row r="377" spans="1:4" ht="12.75">
      <c r="A377" s="163">
        <v>0.34800000000000003</v>
      </c>
      <c r="B377" s="164">
        <f t="shared" si="10"/>
        <v>48.638182938253124</v>
      </c>
      <c r="C377" s="165">
        <f t="shared" si="11"/>
        <v>55031.00415937726</v>
      </c>
      <c r="D377" s="145"/>
    </row>
    <row r="378" spans="1:4" ht="12.75">
      <c r="A378" s="163">
        <v>0.34900000000000003</v>
      </c>
      <c r="B378" s="164">
        <f t="shared" si="10"/>
        <v>48.64068690875881</v>
      </c>
      <c r="C378" s="165">
        <f t="shared" si="11"/>
        <v>55032.09912666623</v>
      </c>
      <c r="D378" s="145"/>
    </row>
    <row r="379" spans="1:4" ht="12.75">
      <c r="A379" s="163">
        <v>0.35</v>
      </c>
      <c r="B379" s="164">
        <f t="shared" si="10"/>
        <v>48.64318825478775</v>
      </c>
      <c r="C379" s="165">
        <f t="shared" si="11"/>
        <v>55033.19375860499</v>
      </c>
      <c r="D379" s="145"/>
    </row>
    <row r="380" spans="1:4" ht="12.75">
      <c r="A380" s="163">
        <v>0.35100000000000003</v>
      </c>
      <c r="B380" s="164">
        <f t="shared" si="10"/>
        <v>48.64568700004877</v>
      </c>
      <c r="C380" s="165">
        <f t="shared" si="11"/>
        <v>55034.288063002845</v>
      </c>
      <c r="D380" s="145"/>
    </row>
    <row r="381" spans="1:4" ht="12.75">
      <c r="A381" s="163">
        <v>0.35200000000000004</v>
      </c>
      <c r="B381" s="164">
        <f t="shared" si="10"/>
        <v>48.64818316810106</v>
      </c>
      <c r="C381" s="165">
        <f t="shared" si="11"/>
        <v>55035.38204763697</v>
      </c>
      <c r="D381" s="145"/>
    </row>
    <row r="382" spans="1:4" ht="12.75">
      <c r="A382" s="163">
        <v>0.353</v>
      </c>
      <c r="B382" s="164">
        <f t="shared" si="10"/>
        <v>48.65067678235618</v>
      </c>
      <c r="C382" s="165">
        <f t="shared" si="11"/>
        <v>55036.4757202529</v>
      </c>
      <c r="D382" s="145"/>
    </row>
    <row r="383" spans="1:4" ht="12.75">
      <c r="A383" s="163">
        <v>0.354</v>
      </c>
      <c r="B383" s="164">
        <f t="shared" si="10"/>
        <v>48.653167866079826</v>
      </c>
      <c r="C383" s="165">
        <f t="shared" si="11"/>
        <v>55037.56908856495</v>
      </c>
      <c r="D383" s="145"/>
    </row>
    <row r="384" spans="1:4" ht="12.75">
      <c r="A384" s="163">
        <v>0.355</v>
      </c>
      <c r="B384" s="164">
        <f t="shared" si="10"/>
        <v>48.65565644239373</v>
      </c>
      <c r="C384" s="165">
        <f t="shared" si="11"/>
        <v>55038.662160256856</v>
      </c>
      <c r="D384" s="145"/>
    </row>
    <row r="385" spans="1:4" ht="12.75">
      <c r="A385" s="163">
        <v>0.356</v>
      </c>
      <c r="B385" s="164">
        <f t="shared" si="10"/>
        <v>48.65814253427748</v>
      </c>
      <c r="C385" s="165">
        <f t="shared" si="11"/>
        <v>55039.75494298217</v>
      </c>
      <c r="D385" s="145"/>
    </row>
    <row r="386" spans="1:4" ht="12.75">
      <c r="A386" s="163">
        <v>0.357</v>
      </c>
      <c r="B386" s="164">
        <f t="shared" si="10"/>
        <v>48.66062616457031</v>
      </c>
      <c r="C386" s="165">
        <f t="shared" si="11"/>
        <v>55040.84744436476</v>
      </c>
      <c r="D386" s="145"/>
    </row>
    <row r="387" spans="1:4" ht="12.75">
      <c r="A387" s="163">
        <v>0.358</v>
      </c>
      <c r="B387" s="164">
        <f t="shared" si="10"/>
        <v>48.66310735597288</v>
      </c>
      <c r="C387" s="165">
        <f t="shared" si="11"/>
        <v>55041.93967199931</v>
      </c>
      <c r="D387" s="145"/>
    </row>
    <row r="388" spans="1:4" ht="12.75">
      <c r="A388" s="163">
        <v>0.359</v>
      </c>
      <c r="B388" s="164">
        <f t="shared" si="10"/>
        <v>48.66558613104905</v>
      </c>
      <c r="C388" s="165">
        <f t="shared" si="11"/>
        <v>55043.03163345184</v>
      </c>
      <c r="D388" s="145"/>
    </row>
    <row r="389" spans="1:4" ht="12.75">
      <c r="A389" s="163">
        <v>0.36</v>
      </c>
      <c r="B389" s="164">
        <f t="shared" si="10"/>
        <v>48.66806251222756</v>
      </c>
      <c r="C389" s="165">
        <f t="shared" si="11"/>
        <v>55044.123336260076</v>
      </c>
      <c r="D389" s="145"/>
    </row>
    <row r="390" spans="1:4" ht="12.75">
      <c r="A390" s="163">
        <v>0.361</v>
      </c>
      <c r="B390" s="164">
        <f t="shared" si="10"/>
        <v>48.67053652180382</v>
      </c>
      <c r="C390" s="165">
        <f t="shared" si="11"/>
        <v>55045.21478793395</v>
      </c>
      <c r="D390" s="145"/>
    </row>
    <row r="391" spans="1:4" ht="12.75">
      <c r="A391" s="163">
        <v>0.362</v>
      </c>
      <c r="B391" s="164">
        <f t="shared" si="10"/>
        <v>48.67300818194155</v>
      </c>
      <c r="C391" s="165">
        <f t="shared" si="11"/>
        <v>55046.30599595617</v>
      </c>
      <c r="D391" s="145"/>
    </row>
    <row r="392" spans="1:4" ht="12.75">
      <c r="A392" s="163">
        <v>0.363</v>
      </c>
      <c r="B392" s="164">
        <f t="shared" si="10"/>
        <v>48.67547751467446</v>
      </c>
      <c r="C392" s="165">
        <f t="shared" si="11"/>
        <v>55047.39696778255</v>
      </c>
      <c r="D392" s="145"/>
    </row>
    <row r="393" spans="1:4" ht="12.75">
      <c r="A393" s="163">
        <v>0.364</v>
      </c>
      <c r="B393" s="164">
        <f t="shared" si="10"/>
        <v>48.67794454190792</v>
      </c>
      <c r="C393" s="165">
        <f t="shared" si="11"/>
        <v>55048.48771084247</v>
      </c>
      <c r="D393" s="145"/>
    </row>
    <row r="394" spans="1:4" ht="12.75">
      <c r="A394" s="163">
        <v>0.365</v>
      </c>
      <c r="B394" s="164">
        <f t="shared" si="10"/>
        <v>48.680409285420545</v>
      </c>
      <c r="C394" s="165">
        <f t="shared" si="11"/>
        <v>55049.57823253941</v>
      </c>
      <c r="D394" s="145"/>
    </row>
    <row r="395" spans="1:4" ht="12.75">
      <c r="A395" s="163">
        <v>0.366</v>
      </c>
      <c r="B395" s="164">
        <f t="shared" si="10"/>
        <v>48.68287176686587</v>
      </c>
      <c r="C395" s="165">
        <f t="shared" si="11"/>
        <v>55050.66854025136</v>
      </c>
      <c r="D395" s="145"/>
    </row>
    <row r="396" spans="1:4" ht="12.75">
      <c r="A396" s="163">
        <v>0.367</v>
      </c>
      <c r="B396" s="164">
        <f t="shared" si="10"/>
        <v>48.6853320077739</v>
      </c>
      <c r="C396" s="165">
        <f t="shared" si="11"/>
        <v>55051.75864133119</v>
      </c>
      <c r="D396" s="145"/>
    </row>
    <row r="397" spans="1:4" ht="12.75">
      <c r="A397" s="163">
        <v>0.368</v>
      </c>
      <c r="B397" s="164">
        <f t="shared" si="10"/>
        <v>48.68779002955268</v>
      </c>
      <c r="C397" s="165">
        <f t="shared" si="11"/>
        <v>55052.848543107175</v>
      </c>
      <c r="D397" s="145"/>
    </row>
    <row r="398" spans="1:4" ht="12.75">
      <c r="A398" s="163">
        <v>0.369</v>
      </c>
      <c r="B398" s="164">
        <f t="shared" si="10"/>
        <v>48.69024585348987</v>
      </c>
      <c r="C398" s="165">
        <f t="shared" si="11"/>
        <v>55053.9382528834</v>
      </c>
      <c r="D398" s="145"/>
    </row>
    <row r="399" spans="1:4" ht="12.75">
      <c r="A399" s="163">
        <v>0.37</v>
      </c>
      <c r="B399" s="164">
        <f t="shared" si="10"/>
        <v>48.692699500754266</v>
      </c>
      <c r="C399" s="165">
        <f t="shared" si="11"/>
        <v>55055.027777940195</v>
      </c>
      <c r="D399" s="145"/>
    </row>
    <row r="400" spans="1:4" ht="12.75">
      <c r="A400" s="163">
        <v>0.371</v>
      </c>
      <c r="B400" s="164">
        <f t="shared" si="10"/>
        <v>48.69515099239733</v>
      </c>
      <c r="C400" s="165">
        <f t="shared" si="11"/>
        <v>55056.11712553449</v>
      </c>
      <c r="D400" s="145"/>
    </row>
    <row r="401" spans="1:4" ht="12.75">
      <c r="A401" s="163">
        <v>0.372</v>
      </c>
      <c r="B401" s="164">
        <f t="shared" si="10"/>
        <v>48.69760034935469</v>
      </c>
      <c r="C401" s="165">
        <f t="shared" si="11"/>
        <v>55057.206302900384</v>
      </c>
      <c r="D401" s="145"/>
    </row>
    <row r="402" spans="1:4" ht="12.75">
      <c r="A402" s="163">
        <v>0.373</v>
      </c>
      <c r="B402" s="164">
        <f t="shared" si="10"/>
        <v>48.70004759244759</v>
      </c>
      <c r="C402" s="165">
        <f t="shared" si="11"/>
        <v>55058.2953172494</v>
      </c>
      <c r="D402" s="145"/>
    </row>
    <row r="403" spans="1:4" ht="12.75">
      <c r="A403" s="163">
        <v>0.374</v>
      </c>
      <c r="B403" s="164">
        <f t="shared" si="10"/>
        <v>48.70249274238441</v>
      </c>
      <c r="C403" s="165">
        <f t="shared" si="11"/>
        <v>55059.38417577098</v>
      </c>
      <c r="D403" s="145"/>
    </row>
    <row r="404" spans="1:4" ht="12.75">
      <c r="A404" s="163">
        <v>0.375</v>
      </c>
      <c r="B404" s="164">
        <f t="shared" si="10"/>
        <v>48.70493581976206</v>
      </c>
      <c r="C404" s="165">
        <f t="shared" si="11"/>
        <v>55060.47288563288</v>
      </c>
      <c r="D404" s="145"/>
    </row>
    <row r="405" spans="1:4" ht="12.75">
      <c r="A405" s="163">
        <v>0.376</v>
      </c>
      <c r="B405" s="164">
        <f t="shared" si="10"/>
        <v>48.70737684506748</v>
      </c>
      <c r="C405" s="165">
        <f t="shared" si="11"/>
        <v>55061.561453981616</v>
      </c>
      <c r="D405" s="145"/>
    </row>
    <row r="406" spans="1:4" ht="12.75">
      <c r="A406" s="163">
        <v>0.377</v>
      </c>
      <c r="B406" s="164">
        <f t="shared" si="10"/>
        <v>48.709815838678956</v>
      </c>
      <c r="C406" s="165">
        <f t="shared" si="11"/>
        <v>55062.64988794278</v>
      </c>
      <c r="D406" s="145"/>
    </row>
    <row r="407" spans="1:4" ht="12.75">
      <c r="A407" s="163">
        <v>0.378</v>
      </c>
      <c r="B407" s="164">
        <f t="shared" si="10"/>
        <v>48.71225282086763</v>
      </c>
      <c r="C407" s="165">
        <f t="shared" si="11"/>
        <v>55063.7381946215</v>
      </c>
      <c r="D407" s="145"/>
    </row>
    <row r="408" spans="1:4" ht="12.75">
      <c r="A408" s="163">
        <v>0.379</v>
      </c>
      <c r="B408" s="164">
        <f t="shared" si="10"/>
        <v>48.714687811798804</v>
      </c>
      <c r="C408" s="165">
        <f t="shared" si="11"/>
        <v>55064.82638110285</v>
      </c>
      <c r="D408" s="145"/>
    </row>
    <row r="409" spans="1:4" ht="12.75">
      <c r="A409" s="163">
        <v>0.38</v>
      </c>
      <c r="B409" s="164">
        <f t="shared" si="10"/>
        <v>48.71712083153334</v>
      </c>
      <c r="C409" s="165">
        <f t="shared" si="11"/>
        <v>55065.914454452126</v>
      </c>
      <c r="D409" s="145"/>
    </row>
    <row r="410" spans="1:4" ht="12.75">
      <c r="A410" s="163">
        <v>0.381</v>
      </c>
      <c r="B410" s="164">
        <f t="shared" si="10"/>
        <v>48.71955190002902</v>
      </c>
      <c r="C410" s="165">
        <f t="shared" si="11"/>
        <v>55067.00242171542</v>
      </c>
      <c r="D410" s="145"/>
    </row>
    <row r="411" spans="1:4" ht="12.75">
      <c r="A411" s="163">
        <v>0.382</v>
      </c>
      <c r="B411" s="164">
        <f t="shared" si="10"/>
        <v>48.72198103714185</v>
      </c>
      <c r="C411" s="165">
        <f t="shared" si="11"/>
        <v>55068.09028991985</v>
      </c>
      <c r="D411" s="145"/>
    </row>
    <row r="412" spans="1:4" ht="12.75">
      <c r="A412" s="163">
        <v>0.383</v>
      </c>
      <c r="B412" s="164">
        <f t="shared" si="10"/>
        <v>48.724408262627435</v>
      </c>
      <c r="C412" s="165">
        <f t="shared" si="11"/>
        <v>55069.17806607399</v>
      </c>
      <c r="D412" s="145"/>
    </row>
    <row r="413" spans="1:4" ht="12.75">
      <c r="A413" s="163">
        <v>0.384</v>
      </c>
      <c r="B413" s="164">
        <f t="shared" si="10"/>
        <v>48.72683359614225</v>
      </c>
      <c r="C413" s="165">
        <f t="shared" si="11"/>
        <v>55070.265757168294</v>
      </c>
      <c r="D413" s="145"/>
    </row>
    <row r="414" spans="1:4" ht="12.75">
      <c r="A414" s="163">
        <v>0.385</v>
      </c>
      <c r="B414" s="164">
        <f aca="true" t="shared" si="12" ref="B414:B477">$C$6+NORMSINV($A414)*$C$11*$C$6</f>
        <v>48.72925705724494</v>
      </c>
      <c r="C414" s="165">
        <f aca="true" t="shared" si="13" ref="C414:C477">EPortfolio($C$5+1/252,$B414,$C$7,$C$8,$C$9,,$C$10,$H$7:$L$10,0)</f>
        <v>55071.353370175384</v>
      </c>
      <c r="D414" s="145"/>
    </row>
    <row r="415" spans="1:4" ht="12.75">
      <c r="A415" s="163">
        <v>0.386</v>
      </c>
      <c r="B415" s="164">
        <f t="shared" si="12"/>
        <v>48.731678665397624</v>
      </c>
      <c r="C415" s="165">
        <f t="shared" si="13"/>
        <v>55072.44091205051</v>
      </c>
      <c r="D415" s="145"/>
    </row>
    <row r="416" spans="1:4" ht="12.75">
      <c r="A416" s="163">
        <v>0.387</v>
      </c>
      <c r="B416" s="164">
        <f t="shared" si="12"/>
        <v>48.73409843996711</v>
      </c>
      <c r="C416" s="165">
        <f t="shared" si="13"/>
        <v>55073.52838973187</v>
      </c>
      <c r="D416" s="145"/>
    </row>
    <row r="417" spans="1:4" ht="12.75">
      <c r="A417" s="163">
        <v>0.388</v>
      </c>
      <c r="B417" s="164">
        <f t="shared" si="12"/>
        <v>48.73651640022623</v>
      </c>
      <c r="C417" s="165">
        <f t="shared" si="13"/>
        <v>55074.615810140946</v>
      </c>
      <c r="D417" s="145"/>
    </row>
    <row r="418" spans="1:4" ht="12.75">
      <c r="A418" s="163">
        <v>0.389</v>
      </c>
      <c r="B418" s="164">
        <f t="shared" si="12"/>
        <v>48.73893256535499</v>
      </c>
      <c r="C418" s="165">
        <f t="shared" si="13"/>
        <v>55075.703180183</v>
      </c>
      <c r="D418" s="145"/>
    </row>
    <row r="419" spans="1:4" ht="12.75">
      <c r="A419" s="163">
        <v>0.39</v>
      </c>
      <c r="B419" s="164">
        <f t="shared" si="12"/>
        <v>48.74134695444187</v>
      </c>
      <c r="C419" s="165">
        <f t="shared" si="13"/>
        <v>55076.79050674725</v>
      </c>
      <c r="D419" s="145"/>
    </row>
    <row r="420" spans="1:4" ht="12.75">
      <c r="A420" s="163">
        <v>0.391</v>
      </c>
      <c r="B420" s="164">
        <f t="shared" si="12"/>
        <v>48.743759586485005</v>
      </c>
      <c r="C420" s="165">
        <f t="shared" si="13"/>
        <v>55077.877796707384</v>
      </c>
      <c r="D420" s="145"/>
    </row>
    <row r="421" spans="1:4" ht="12.75">
      <c r="A421" s="163">
        <v>0.392</v>
      </c>
      <c r="B421" s="164">
        <f t="shared" si="12"/>
        <v>48.74617048039338</v>
      </c>
      <c r="C421" s="165">
        <f t="shared" si="13"/>
        <v>55078.96505692181</v>
      </c>
      <c r="D421" s="145"/>
    </row>
    <row r="422" spans="1:4" ht="12.75">
      <c r="A422" s="163">
        <v>0.393</v>
      </c>
      <c r="B422" s="164">
        <f t="shared" si="12"/>
        <v>48.74857965498804</v>
      </c>
      <c r="C422" s="165">
        <f t="shared" si="13"/>
        <v>55080.052294234105</v>
      </c>
      <c r="D422" s="145"/>
    </row>
    <row r="423" spans="1:4" ht="12.75">
      <c r="A423" s="163">
        <v>0.394</v>
      </c>
      <c r="B423" s="164">
        <f t="shared" si="12"/>
        <v>48.750987129003256</v>
      </c>
      <c r="C423" s="165">
        <f t="shared" si="13"/>
        <v>55081.13951547328</v>
      </c>
      <c r="D423" s="145"/>
    </row>
    <row r="424" spans="1:4" ht="12.75">
      <c r="A424" s="163">
        <v>0.395</v>
      </c>
      <c r="B424" s="164">
        <f t="shared" si="12"/>
        <v>48.753392921087695</v>
      </c>
      <c r="C424" s="165">
        <f t="shared" si="13"/>
        <v>55082.22672745416</v>
      </c>
      <c r="D424" s="145"/>
    </row>
    <row r="425" spans="1:4" ht="12.75">
      <c r="A425" s="163">
        <v>0.396</v>
      </c>
      <c r="B425" s="164">
        <f t="shared" si="12"/>
        <v>48.75579704980557</v>
      </c>
      <c r="C425" s="165">
        <f t="shared" si="13"/>
        <v>55083.31393697779</v>
      </c>
      <c r="D425" s="145"/>
    </row>
    <row r="426" spans="1:4" ht="12.75">
      <c r="A426" s="163">
        <v>0.397</v>
      </c>
      <c r="B426" s="164">
        <f t="shared" si="12"/>
        <v>48.75819953363778</v>
      </c>
      <c r="C426" s="165">
        <f t="shared" si="13"/>
        <v>55084.401150831654</v>
      </c>
      <c r="D426" s="145"/>
    </row>
    <row r="427" spans="1:4" ht="12.75">
      <c r="A427" s="163">
        <v>0.398</v>
      </c>
      <c r="B427" s="164">
        <f t="shared" si="12"/>
        <v>48.76060039098304</v>
      </c>
      <c r="C427" s="165">
        <f t="shared" si="13"/>
        <v>55085.48837579011</v>
      </c>
      <c r="D427" s="145"/>
    </row>
    <row r="428" spans="1:4" ht="12.75">
      <c r="A428" s="163">
        <v>0.399</v>
      </c>
      <c r="B428" s="164">
        <f t="shared" si="12"/>
        <v>48.76299964015902</v>
      </c>
      <c r="C428" s="165">
        <f t="shared" si="13"/>
        <v>55086.57561861472</v>
      </c>
      <c r="D428" s="145"/>
    </row>
    <row r="429" spans="1:4" ht="12.75">
      <c r="A429" s="163">
        <v>0.4</v>
      </c>
      <c r="B429" s="164">
        <f t="shared" si="12"/>
        <v>48.76539729940342</v>
      </c>
      <c r="C429" s="165">
        <f t="shared" si="13"/>
        <v>55087.662886054575</v>
      </c>
      <c r="D429" s="145"/>
    </row>
    <row r="430" spans="1:4" ht="12.75">
      <c r="A430" s="163">
        <v>0.401</v>
      </c>
      <c r="B430" s="164">
        <f t="shared" si="12"/>
        <v>48.76779338687507</v>
      </c>
      <c r="C430" s="165">
        <f t="shared" si="13"/>
        <v>55088.750184846554</v>
      </c>
      <c r="D430" s="145"/>
    </row>
    <row r="431" spans="1:4" ht="12.75">
      <c r="A431" s="163">
        <v>0.402</v>
      </c>
      <c r="B431" s="164">
        <f t="shared" si="12"/>
        <v>48.770187920655076</v>
      </c>
      <c r="C431" s="165">
        <f t="shared" si="13"/>
        <v>55089.83752171583</v>
      </c>
      <c r="D431" s="145"/>
    </row>
    <row r="432" spans="1:4" ht="12.75">
      <c r="A432" s="163">
        <v>0.403</v>
      </c>
      <c r="B432" s="164">
        <f t="shared" si="12"/>
        <v>48.772580918747806</v>
      </c>
      <c r="C432" s="165">
        <f t="shared" si="13"/>
        <v>55090.92490337605</v>
      </c>
      <c r="D432" s="145"/>
    </row>
    <row r="433" spans="1:4" ht="12.75">
      <c r="A433" s="163">
        <v>0.404</v>
      </c>
      <c r="B433" s="164">
        <f t="shared" si="12"/>
        <v>48.774972399082024</v>
      </c>
      <c r="C433" s="165">
        <f t="shared" si="13"/>
        <v>55092.012336529726</v>
      </c>
      <c r="D433" s="145"/>
    </row>
    <row r="434" spans="1:4" ht="12.75">
      <c r="A434" s="163">
        <v>0.405</v>
      </c>
      <c r="B434" s="164">
        <f t="shared" si="12"/>
        <v>48.777362379511914</v>
      </c>
      <c r="C434" s="165">
        <f t="shared" si="13"/>
        <v>55093.099827868486</v>
      </c>
      <c r="D434" s="145"/>
    </row>
    <row r="435" spans="1:4" ht="12.75">
      <c r="A435" s="163">
        <v>0.406</v>
      </c>
      <c r="B435" s="164">
        <f t="shared" si="12"/>
        <v>48.77975087781814</v>
      </c>
      <c r="C435" s="165">
        <f t="shared" si="13"/>
        <v>55094.18738407356</v>
      </c>
      <c r="D435" s="145"/>
    </row>
    <row r="436" spans="1:4" ht="12.75">
      <c r="A436" s="163">
        <v>0.40700000000000003</v>
      </c>
      <c r="B436" s="164">
        <f t="shared" si="12"/>
        <v>48.782137911708865</v>
      </c>
      <c r="C436" s="165">
        <f t="shared" si="13"/>
        <v>55095.27501181594</v>
      </c>
      <c r="D436" s="145"/>
    </row>
    <row r="437" spans="1:4" ht="12.75">
      <c r="A437" s="163">
        <v>0.40800000000000003</v>
      </c>
      <c r="B437" s="164">
        <f t="shared" si="12"/>
        <v>48.78452349882081</v>
      </c>
      <c r="C437" s="165">
        <f t="shared" si="13"/>
        <v>55096.36271775678</v>
      </c>
      <c r="D437" s="145"/>
    </row>
    <row r="438" spans="1:4" ht="12.75">
      <c r="A438" s="163">
        <v>0.40900000000000003</v>
      </c>
      <c r="B438" s="164">
        <f t="shared" si="12"/>
        <v>48.786907656720224</v>
      </c>
      <c r="C438" s="165">
        <f t="shared" si="13"/>
        <v>55097.45050854772</v>
      </c>
      <c r="D438" s="145"/>
    </row>
    <row r="439" spans="1:4" ht="12.75">
      <c r="A439" s="163">
        <v>0.41</v>
      </c>
      <c r="B439" s="164">
        <f t="shared" si="12"/>
        <v>48.78929040290393</v>
      </c>
      <c r="C439" s="165">
        <f t="shared" si="13"/>
        <v>55098.53839083112</v>
      </c>
      <c r="D439" s="145"/>
    </row>
    <row r="440" spans="1:4" ht="12.75">
      <c r="A440" s="163">
        <v>0.41100000000000003</v>
      </c>
      <c r="B440" s="164">
        <f t="shared" si="12"/>
        <v>48.79167175480032</v>
      </c>
      <c r="C440" s="165">
        <f t="shared" si="13"/>
        <v>55099.62637124052</v>
      </c>
      <c r="D440" s="145"/>
    </row>
    <row r="441" spans="1:4" ht="12.75">
      <c r="A441" s="163">
        <v>0.41200000000000003</v>
      </c>
      <c r="B441" s="164">
        <f t="shared" si="12"/>
        <v>48.794051729770324</v>
      </c>
      <c r="C441" s="165">
        <f t="shared" si="13"/>
        <v>55100.71445640081</v>
      </c>
      <c r="D441" s="145"/>
    </row>
    <row r="442" spans="1:4" ht="12.75">
      <c r="A442" s="163">
        <v>0.41300000000000003</v>
      </c>
      <c r="B442" s="164">
        <f t="shared" si="12"/>
        <v>48.7964303451084</v>
      </c>
      <c r="C442" s="165">
        <f t="shared" si="13"/>
        <v>55101.802652928636</v>
      </c>
      <c r="D442" s="145"/>
    </row>
    <row r="443" spans="1:4" ht="12.75">
      <c r="A443" s="163">
        <v>0.41400000000000003</v>
      </c>
      <c r="B443" s="164">
        <f t="shared" si="12"/>
        <v>48.79880761804352</v>
      </c>
      <c r="C443" s="165">
        <f t="shared" si="13"/>
        <v>55102.89096743266</v>
      </c>
      <c r="D443" s="145"/>
    </row>
    <row r="444" spans="1:4" ht="12.75">
      <c r="A444" s="163">
        <v>0.415</v>
      </c>
      <c r="B444" s="164">
        <f t="shared" si="12"/>
        <v>48.80118356574012</v>
      </c>
      <c r="C444" s="165">
        <f t="shared" si="13"/>
        <v>55103.97940651391</v>
      </c>
      <c r="D444" s="145"/>
    </row>
    <row r="445" spans="1:4" ht="12.75">
      <c r="A445" s="163">
        <v>0.41600000000000004</v>
      </c>
      <c r="B445" s="164">
        <f t="shared" si="12"/>
        <v>48.80355820529905</v>
      </c>
      <c r="C445" s="165">
        <f t="shared" si="13"/>
        <v>55105.067976766055</v>
      </c>
      <c r="D445" s="145"/>
    </row>
    <row r="446" spans="1:4" ht="12.75">
      <c r="A446" s="163">
        <v>0.41700000000000004</v>
      </c>
      <c r="B446" s="164">
        <f t="shared" si="12"/>
        <v>48.805931553758526</v>
      </c>
      <c r="C446" s="165">
        <f t="shared" si="13"/>
        <v>55106.15668477569</v>
      </c>
      <c r="D446" s="145"/>
    </row>
    <row r="447" spans="1:4" ht="12.75">
      <c r="A447" s="163">
        <v>0.418</v>
      </c>
      <c r="B447" s="164">
        <f t="shared" si="12"/>
        <v>48.8083036280951</v>
      </c>
      <c r="C447" s="165">
        <f t="shared" si="13"/>
        <v>55107.24553712277</v>
      </c>
      <c r="D447" s="145"/>
    </row>
    <row r="448" spans="1:4" ht="12.75">
      <c r="A448" s="163">
        <v>0.419</v>
      </c>
      <c r="B448" s="164">
        <f t="shared" si="12"/>
        <v>48.810674445224535</v>
      </c>
      <c r="C448" s="165">
        <f t="shared" si="13"/>
        <v>55108.33454038068</v>
      </c>
      <c r="D448" s="145"/>
    </row>
    <row r="449" spans="1:4" ht="12.75">
      <c r="A449" s="163">
        <v>0.42</v>
      </c>
      <c r="B449" s="164">
        <f t="shared" si="12"/>
        <v>48.81304402200277</v>
      </c>
      <c r="C449" s="165">
        <f t="shared" si="13"/>
        <v>55109.42370111683</v>
      </c>
      <c r="D449" s="145"/>
    </row>
    <row r="450" spans="1:4" ht="12.75">
      <c r="A450" s="163">
        <v>0.421</v>
      </c>
      <c r="B450" s="164">
        <f t="shared" si="12"/>
        <v>48.81541237522681</v>
      </c>
      <c r="C450" s="165">
        <f t="shared" si="13"/>
        <v>55110.51302589263</v>
      </c>
      <c r="D450" s="145"/>
    </row>
    <row r="451" spans="1:4" ht="12.75">
      <c r="A451" s="163">
        <v>0.422</v>
      </c>
      <c r="B451" s="164">
        <f t="shared" si="12"/>
        <v>48.81777952163567</v>
      </c>
      <c r="C451" s="165">
        <f t="shared" si="13"/>
        <v>55111.602521264074</v>
      </c>
      <c r="D451" s="145"/>
    </row>
    <row r="452" spans="1:4" ht="12.75">
      <c r="A452" s="163">
        <v>0.423</v>
      </c>
      <c r="B452" s="164">
        <f t="shared" si="12"/>
        <v>48.820145477911225</v>
      </c>
      <c r="C452" s="165">
        <f t="shared" si="13"/>
        <v>55112.69219378192</v>
      </c>
      <c r="D452" s="145"/>
    </row>
    <row r="453" spans="1:4" ht="12.75">
      <c r="A453" s="163">
        <v>0.424</v>
      </c>
      <c r="B453" s="164">
        <f t="shared" si="12"/>
        <v>48.82251026067916</v>
      </c>
      <c r="C453" s="165">
        <f t="shared" si="13"/>
        <v>55113.78204999196</v>
      </c>
      <c r="D453" s="145"/>
    </row>
    <row r="454" spans="1:4" ht="12.75">
      <c r="A454" s="163">
        <v>0.425</v>
      </c>
      <c r="B454" s="164">
        <f t="shared" si="12"/>
        <v>48.8248738865098</v>
      </c>
      <c r="C454" s="165">
        <f t="shared" si="13"/>
        <v>55114.87209643534</v>
      </c>
      <c r="D454" s="145"/>
    </row>
    <row r="455" spans="1:4" ht="12.75">
      <c r="A455" s="163">
        <v>0.426</v>
      </c>
      <c r="B455" s="164">
        <f t="shared" si="12"/>
        <v>48.82723637191904</v>
      </c>
      <c r="C455" s="165">
        <f t="shared" si="13"/>
        <v>55115.96233964887</v>
      </c>
      <c r="D455" s="145"/>
    </row>
    <row r="456" spans="1:4" ht="12.75">
      <c r="A456" s="163">
        <v>0.427</v>
      </c>
      <c r="B456" s="164">
        <f t="shared" si="12"/>
        <v>48.82959773336919</v>
      </c>
      <c r="C456" s="165">
        <f t="shared" si="13"/>
        <v>55117.052786165346</v>
      </c>
      <c r="D456" s="145"/>
    </row>
    <row r="457" spans="1:4" ht="12.75">
      <c r="A457" s="163">
        <v>0.428</v>
      </c>
      <c r="B457" s="164">
        <f t="shared" si="12"/>
        <v>48.83195798726983</v>
      </c>
      <c r="C457" s="165">
        <f t="shared" si="13"/>
        <v>55118.14344251374</v>
      </c>
      <c r="D457" s="145"/>
    </row>
    <row r="458" spans="1:4" ht="12.75">
      <c r="A458" s="163">
        <v>0.429</v>
      </c>
      <c r="B458" s="164">
        <f t="shared" si="12"/>
        <v>48.83431714997872</v>
      </c>
      <c r="C458" s="165">
        <f t="shared" si="13"/>
        <v>55119.23431521961</v>
      </c>
      <c r="D458" s="145"/>
    </row>
    <row r="459" spans="1:4" ht="12.75">
      <c r="A459" s="163">
        <v>0.43</v>
      </c>
      <c r="B459" s="164">
        <f t="shared" si="12"/>
        <v>48.83667523780259</v>
      </c>
      <c r="C459" s="165">
        <f t="shared" si="13"/>
        <v>55120.325410805344</v>
      </c>
      <c r="D459" s="145"/>
    </row>
    <row r="460" spans="1:4" ht="12.75">
      <c r="A460" s="163">
        <v>0.431</v>
      </c>
      <c r="B460" s="164">
        <f t="shared" si="12"/>
        <v>48.839032266998025</v>
      </c>
      <c r="C460" s="165">
        <f t="shared" si="13"/>
        <v>55121.41673579039</v>
      </c>
      <c r="D460" s="145"/>
    </row>
    <row r="461" spans="1:4" ht="12.75">
      <c r="A461" s="163">
        <v>0.432</v>
      </c>
      <c r="B461" s="164">
        <f t="shared" si="12"/>
        <v>48.841388253772294</v>
      </c>
      <c r="C461" s="165">
        <f t="shared" si="13"/>
        <v>55122.50829669166</v>
      </c>
      <c r="D461" s="145"/>
    </row>
    <row r="462" spans="1:4" ht="12.75">
      <c r="A462" s="163">
        <v>0.433</v>
      </c>
      <c r="B462" s="164">
        <f t="shared" si="12"/>
        <v>48.8437432142842</v>
      </c>
      <c r="C462" s="165">
        <f t="shared" si="13"/>
        <v>55123.60010002374</v>
      </c>
      <c r="D462" s="145"/>
    </row>
    <row r="463" spans="1:4" ht="12.75">
      <c r="A463" s="163">
        <v>0.434</v>
      </c>
      <c r="B463" s="164">
        <f t="shared" si="12"/>
        <v>48.846097164644874</v>
      </c>
      <c r="C463" s="165">
        <f t="shared" si="13"/>
        <v>55124.692152299154</v>
      </c>
      <c r="D463" s="145"/>
    </row>
    <row r="464" spans="1:4" ht="12.75">
      <c r="A464" s="163">
        <v>0.435</v>
      </c>
      <c r="B464" s="164">
        <f t="shared" si="12"/>
        <v>48.848450120918635</v>
      </c>
      <c r="C464" s="165">
        <f t="shared" si="13"/>
        <v>55125.784460028764</v>
      </c>
      <c r="D464" s="145"/>
    </row>
    <row r="465" spans="1:4" ht="12.75">
      <c r="A465" s="163">
        <v>0.436</v>
      </c>
      <c r="B465" s="164">
        <f t="shared" si="12"/>
        <v>48.85080209912379</v>
      </c>
      <c r="C465" s="165">
        <f t="shared" si="13"/>
        <v>55126.877029721974</v>
      </c>
      <c r="D465" s="145"/>
    </row>
    <row r="466" spans="1:4" ht="12.75">
      <c r="A466" s="163">
        <v>0.437</v>
      </c>
      <c r="B466" s="164">
        <f t="shared" si="12"/>
        <v>48.853153115233425</v>
      </c>
      <c r="C466" s="165">
        <f t="shared" si="13"/>
        <v>55127.96986788696</v>
      </c>
      <c r="D466" s="145"/>
    </row>
    <row r="467" spans="1:4" ht="12.75">
      <c r="A467" s="163">
        <v>0.438</v>
      </c>
      <c r="B467" s="164">
        <f t="shared" si="12"/>
        <v>48.85550318517626</v>
      </c>
      <c r="C467" s="165">
        <f t="shared" si="13"/>
        <v>55129.06298103106</v>
      </c>
      <c r="D467" s="145"/>
    </row>
    <row r="468" spans="1:4" ht="12.75">
      <c r="A468" s="163">
        <v>0.439</v>
      </c>
      <c r="B468" s="164">
        <f t="shared" si="12"/>
        <v>48.857852324837395</v>
      </c>
      <c r="C468" s="165">
        <f t="shared" si="13"/>
        <v>55130.156375661085</v>
      </c>
      <c r="D468" s="145"/>
    </row>
    <row r="469" spans="1:4" ht="12.75">
      <c r="A469" s="163">
        <v>0.44</v>
      </c>
      <c r="B469" s="164">
        <f t="shared" si="12"/>
        <v>48.860200550059155</v>
      </c>
      <c r="C469" s="165">
        <f t="shared" si="13"/>
        <v>55131.25005828339</v>
      </c>
      <c r="D469" s="145"/>
    </row>
    <row r="470" spans="1:4" ht="12.75">
      <c r="A470" s="163">
        <v>0.441</v>
      </c>
      <c r="B470" s="164">
        <f t="shared" si="12"/>
        <v>48.86254787664183</v>
      </c>
      <c r="C470" s="165">
        <f t="shared" si="13"/>
        <v>55132.34403540446</v>
      </c>
      <c r="D470" s="145"/>
    </row>
    <row r="471" spans="1:4" ht="12.75">
      <c r="A471" s="163">
        <v>0.442</v>
      </c>
      <c r="B471" s="164">
        <f t="shared" si="12"/>
        <v>48.86489432034449</v>
      </c>
      <c r="C471" s="165">
        <f t="shared" si="13"/>
        <v>55133.43831353092</v>
      </c>
      <c r="D471" s="145"/>
    </row>
    <row r="472" spans="1:4" ht="12.75">
      <c r="A472" s="163">
        <v>0.443</v>
      </c>
      <c r="B472" s="164">
        <f t="shared" si="12"/>
        <v>48.86723989688578</v>
      </c>
      <c r="C472" s="165">
        <f t="shared" si="13"/>
        <v>55134.532899169964</v>
      </c>
      <c r="D472" s="145"/>
    </row>
    <row r="473" spans="1:4" ht="12.75">
      <c r="A473" s="163">
        <v>0.444</v>
      </c>
      <c r="B473" s="164">
        <f t="shared" si="12"/>
        <v>48.86958462194464</v>
      </c>
      <c r="C473" s="165">
        <f t="shared" si="13"/>
        <v>55135.62779882967</v>
      </c>
      <c r="D473" s="145"/>
    </row>
    <row r="474" spans="1:4" ht="12.75">
      <c r="A474" s="163">
        <v>0.445</v>
      </c>
      <c r="B474" s="164">
        <f t="shared" si="12"/>
        <v>48.87192851116113</v>
      </c>
      <c r="C474" s="165">
        <f t="shared" si="13"/>
        <v>55136.72301901909</v>
      </c>
      <c r="D474" s="145"/>
    </row>
    <row r="475" spans="1:4" ht="12.75">
      <c r="A475" s="163">
        <v>0.446</v>
      </c>
      <c r="B475" s="164">
        <f t="shared" si="12"/>
        <v>48.87427158013717</v>
      </c>
      <c r="C475" s="165">
        <f t="shared" si="13"/>
        <v>55137.81856624872</v>
      </c>
      <c r="D475" s="145"/>
    </row>
    <row r="476" spans="1:4" ht="12.75">
      <c r="A476" s="163">
        <v>0.447</v>
      </c>
      <c r="B476" s="164">
        <f t="shared" si="12"/>
        <v>48.876613844437294</v>
      </c>
      <c r="C476" s="165">
        <f t="shared" si="13"/>
        <v>55138.91444703077</v>
      </c>
      <c r="D476" s="145"/>
    </row>
    <row r="477" spans="1:4" ht="12.75">
      <c r="A477" s="163">
        <v>0.448</v>
      </c>
      <c r="B477" s="164">
        <f t="shared" si="12"/>
        <v>48.87895531958943</v>
      </c>
      <c r="C477" s="165">
        <f t="shared" si="13"/>
        <v>55140.01066787929</v>
      </c>
      <c r="D477" s="145"/>
    </row>
    <row r="478" spans="1:4" ht="12.75">
      <c r="A478" s="163">
        <v>0.449</v>
      </c>
      <c r="B478" s="164">
        <f aca="true" t="shared" si="14" ref="B478:B541">$C$6+NORMSINV($A478)*$C$11*$C$6</f>
        <v>48.881296021085625</v>
      </c>
      <c r="C478" s="165">
        <f aca="true" t="shared" si="15" ref="C478:C541">EPortfolio($C$5+1/252,$B478,$C$7,$C$8,$C$9,,$C$10,$H$7:$L$10,0)</f>
        <v>55141.1072353106</v>
      </c>
      <c r="D478" s="145"/>
    </row>
    <row r="479" spans="1:4" ht="12.75">
      <c r="A479" s="163">
        <v>0.45</v>
      </c>
      <c r="B479" s="164">
        <f t="shared" si="14"/>
        <v>48.88363596438282</v>
      </c>
      <c r="C479" s="165">
        <f t="shared" si="15"/>
        <v>55142.204155843516</v>
      </c>
      <c r="D479" s="145"/>
    </row>
    <row r="480" spans="1:4" ht="12.75">
      <c r="A480" s="163">
        <v>0.451</v>
      </c>
      <c r="B480" s="164">
        <f t="shared" si="14"/>
        <v>48.885975164903556</v>
      </c>
      <c r="C480" s="165">
        <f t="shared" si="15"/>
        <v>55143.30143599958</v>
      </c>
      <c r="D480" s="145"/>
    </row>
    <row r="481" spans="1:4" ht="12.75">
      <c r="A481" s="163">
        <v>0.452</v>
      </c>
      <c r="B481" s="164">
        <f t="shared" si="14"/>
        <v>48.88831363803675</v>
      </c>
      <c r="C481" s="165">
        <f t="shared" si="15"/>
        <v>55144.3990823035</v>
      </c>
      <c r="D481" s="145"/>
    </row>
    <row r="482" spans="1:4" ht="12.75">
      <c r="A482" s="163">
        <v>0.453</v>
      </c>
      <c r="B482" s="164">
        <f t="shared" si="14"/>
        <v>48.89065139913842</v>
      </c>
      <c r="C482" s="165">
        <f t="shared" si="15"/>
        <v>55145.49710128318</v>
      </c>
      <c r="D482" s="145"/>
    </row>
    <row r="483" spans="1:4" ht="12.75">
      <c r="A483" s="163">
        <v>0.454</v>
      </c>
      <c r="B483" s="164">
        <f t="shared" si="14"/>
        <v>48.8929884635324</v>
      </c>
      <c r="C483" s="165">
        <f t="shared" si="15"/>
        <v>55146.595499470226</v>
      </c>
      <c r="D483" s="145"/>
    </row>
    <row r="484" spans="1:4" ht="12.75">
      <c r="A484" s="163">
        <v>0.455</v>
      </c>
      <c r="B484" s="164">
        <f t="shared" si="14"/>
        <v>48.89532484651109</v>
      </c>
      <c r="C484" s="165">
        <f t="shared" si="15"/>
        <v>55147.69428340008</v>
      </c>
      <c r="D484" s="145"/>
    </row>
    <row r="485" spans="1:4" ht="12.75">
      <c r="A485" s="163">
        <v>0.456</v>
      </c>
      <c r="B485" s="164">
        <f t="shared" si="14"/>
        <v>48.897660563336146</v>
      </c>
      <c r="C485" s="165">
        <f t="shared" si="15"/>
        <v>55148.79345961239</v>
      </c>
      <c r="D485" s="145"/>
    </row>
    <row r="486" spans="1:4" ht="12.75">
      <c r="A486" s="163">
        <v>0.457</v>
      </c>
      <c r="B486" s="164">
        <f t="shared" si="14"/>
        <v>48.89999562923926</v>
      </c>
      <c r="C486" s="165">
        <f t="shared" si="15"/>
        <v>55149.893034651235</v>
      </c>
      <c r="D486" s="145"/>
    </row>
    <row r="487" spans="1:4" ht="12.75">
      <c r="A487" s="163">
        <v>0.458</v>
      </c>
      <c r="B487" s="164">
        <f t="shared" si="14"/>
        <v>48.9023300594228</v>
      </c>
      <c r="C487" s="165">
        <f t="shared" si="15"/>
        <v>55150.99301506538</v>
      </c>
      <c r="D487" s="145"/>
    </row>
    <row r="488" spans="1:4" ht="12.75">
      <c r="A488" s="163">
        <v>0.459</v>
      </c>
      <c r="B488" s="164">
        <f t="shared" si="14"/>
        <v>48.90466386906059</v>
      </c>
      <c r="C488" s="165">
        <f t="shared" si="15"/>
        <v>55152.093407408676</v>
      </c>
      <c r="D488" s="145"/>
    </row>
    <row r="489" spans="1:4" ht="12.75">
      <c r="A489" s="163">
        <v>0.46</v>
      </c>
      <c r="B489" s="164">
        <f t="shared" si="14"/>
        <v>48.90699707329859</v>
      </c>
      <c r="C489" s="165">
        <f t="shared" si="15"/>
        <v>55153.194218240154</v>
      </c>
      <c r="D489" s="145"/>
    </row>
    <row r="490" spans="1:4" ht="12.75">
      <c r="A490" s="163">
        <v>0.461</v>
      </c>
      <c r="B490" s="164">
        <f t="shared" si="14"/>
        <v>48.909329687255585</v>
      </c>
      <c r="C490" s="165">
        <f t="shared" si="15"/>
        <v>55154.29545412447</v>
      </c>
      <c r="D490" s="145"/>
    </row>
    <row r="491" spans="1:4" ht="12.75">
      <c r="A491" s="163">
        <v>0.462</v>
      </c>
      <c r="B491" s="164">
        <f t="shared" si="14"/>
        <v>48.91166172602392</v>
      </c>
      <c r="C491" s="165">
        <f t="shared" si="15"/>
        <v>55155.39712163208</v>
      </c>
      <c r="D491" s="145"/>
    </row>
    <row r="492" spans="1:4" ht="12.75">
      <c r="A492" s="163">
        <v>0.463</v>
      </c>
      <c r="B492" s="164">
        <f t="shared" si="14"/>
        <v>48.9139932046702</v>
      </c>
      <c r="C492" s="165">
        <f t="shared" si="15"/>
        <v>55156.49922733957</v>
      </c>
      <c r="D492" s="145"/>
    </row>
    <row r="493" spans="1:4" ht="12.75">
      <c r="A493" s="163">
        <v>0.464</v>
      </c>
      <c r="B493" s="164">
        <f t="shared" si="14"/>
        <v>48.91632413823596</v>
      </c>
      <c r="C493" s="165">
        <f t="shared" si="15"/>
        <v>55157.601777829885</v>
      </c>
      <c r="D493" s="145"/>
    </row>
    <row r="494" spans="1:4" ht="12.75">
      <c r="A494" s="163">
        <v>0.465</v>
      </c>
      <c r="B494" s="164">
        <f t="shared" si="14"/>
        <v>48.91865454173836</v>
      </c>
      <c r="C494" s="165">
        <f t="shared" si="15"/>
        <v>55158.704779692685</v>
      </c>
      <c r="D494" s="145"/>
    </row>
    <row r="495" spans="1:4" ht="12.75">
      <c r="A495" s="163">
        <v>0.466</v>
      </c>
      <c r="B495" s="164">
        <f t="shared" si="14"/>
        <v>48.920984430170925</v>
      </c>
      <c r="C495" s="165">
        <f t="shared" si="15"/>
        <v>55159.80823952454</v>
      </c>
      <c r="D495" s="145"/>
    </row>
    <row r="496" spans="1:4" ht="12.75">
      <c r="A496" s="163">
        <v>0.467</v>
      </c>
      <c r="B496" s="164">
        <f t="shared" si="14"/>
        <v>48.92331381850418</v>
      </c>
      <c r="C496" s="165">
        <f t="shared" si="15"/>
        <v>55160.91216392927</v>
      </c>
      <c r="D496" s="145"/>
    </row>
    <row r="497" spans="1:4" ht="12.75">
      <c r="A497" s="163">
        <v>0.468</v>
      </c>
      <c r="B497" s="164">
        <f t="shared" si="14"/>
        <v>48.92564272168635</v>
      </c>
      <c r="C497" s="165">
        <f t="shared" si="15"/>
        <v>55162.016559518204</v>
      </c>
      <c r="D497" s="145"/>
    </row>
    <row r="498" spans="1:4" ht="12.75">
      <c r="A498" s="163">
        <v>0.46900000000000003</v>
      </c>
      <c r="B498" s="164">
        <f t="shared" si="14"/>
        <v>48.92797115464406</v>
      </c>
      <c r="C498" s="165">
        <f t="shared" si="15"/>
        <v>55163.12143291042</v>
      </c>
      <c r="D498" s="145"/>
    </row>
    <row r="499" spans="1:4" ht="12.75">
      <c r="A499" s="163">
        <v>0.47</v>
      </c>
      <c r="B499" s="164">
        <f t="shared" si="14"/>
        <v>48.930299132283004</v>
      </c>
      <c r="C499" s="165">
        <f t="shared" si="15"/>
        <v>55164.226790733126</v>
      </c>
      <c r="D499" s="145"/>
    </row>
    <row r="500" spans="1:4" ht="12.75">
      <c r="A500" s="163">
        <v>0.47100000000000003</v>
      </c>
      <c r="B500" s="164">
        <f t="shared" si="14"/>
        <v>48.93262666948861</v>
      </c>
      <c r="C500" s="165">
        <f t="shared" si="15"/>
        <v>55165.33263962181</v>
      </c>
      <c r="D500" s="145"/>
    </row>
    <row r="501" spans="1:4" ht="12.75">
      <c r="A501" s="163">
        <v>0.47200000000000003</v>
      </c>
      <c r="B501" s="164">
        <f t="shared" si="14"/>
        <v>48.93495378112675</v>
      </c>
      <c r="C501" s="165">
        <f t="shared" si="15"/>
        <v>55166.438986220615</v>
      </c>
      <c r="D501" s="145"/>
    </row>
    <row r="502" spans="1:4" ht="12.75">
      <c r="A502" s="163">
        <v>0.47300000000000003</v>
      </c>
      <c r="B502" s="164">
        <f t="shared" si="14"/>
        <v>48.93728048204437</v>
      </c>
      <c r="C502" s="165">
        <f t="shared" si="15"/>
        <v>55167.545837182624</v>
      </c>
      <c r="D502" s="145"/>
    </row>
    <row r="503" spans="1:4" ht="12.75">
      <c r="A503" s="163">
        <v>0.47400000000000003</v>
      </c>
      <c r="B503" s="164">
        <f t="shared" si="14"/>
        <v>48.93960678707022</v>
      </c>
      <c r="C503" s="165">
        <f t="shared" si="15"/>
        <v>55168.65319917007</v>
      </c>
      <c r="D503" s="145"/>
    </row>
    <row r="504" spans="1:4" ht="12.75">
      <c r="A504" s="163">
        <v>0.475</v>
      </c>
      <c r="B504" s="164">
        <f t="shared" si="14"/>
        <v>48.94193271101544</v>
      </c>
      <c r="C504" s="165">
        <f t="shared" si="15"/>
        <v>55169.761078854666</v>
      </c>
      <c r="D504" s="145"/>
    </row>
    <row r="505" spans="1:4" ht="12.75">
      <c r="A505" s="163">
        <v>0.47600000000000003</v>
      </c>
      <c r="B505" s="164">
        <f t="shared" si="14"/>
        <v>48.94425826867431</v>
      </c>
      <c r="C505" s="165">
        <f t="shared" si="15"/>
        <v>55170.86948291786</v>
      </c>
      <c r="D505" s="145"/>
    </row>
    <row r="506" spans="1:4" ht="12.75">
      <c r="A506" s="163">
        <v>0.47700000000000004</v>
      </c>
      <c r="B506" s="164">
        <f t="shared" si="14"/>
        <v>48.94658347482489</v>
      </c>
      <c r="C506" s="165">
        <f t="shared" si="15"/>
        <v>55171.97841805121</v>
      </c>
      <c r="D506" s="145"/>
    </row>
    <row r="507" spans="1:4" ht="12.75">
      <c r="A507" s="163">
        <v>0.47800000000000004</v>
      </c>
      <c r="B507" s="164">
        <f t="shared" si="14"/>
        <v>48.94890834422964</v>
      </c>
      <c r="C507" s="165">
        <f t="shared" si="15"/>
        <v>55173.087890956485</v>
      </c>
      <c r="D507" s="145"/>
    </row>
    <row r="508" spans="1:4" ht="12.75">
      <c r="A508" s="163">
        <v>0.47900000000000004</v>
      </c>
      <c r="B508" s="164">
        <f t="shared" si="14"/>
        <v>48.95123289163616</v>
      </c>
      <c r="C508" s="165">
        <f t="shared" si="15"/>
        <v>55174.19790834619</v>
      </c>
      <c r="D508" s="145"/>
    </row>
    <row r="509" spans="1:4" ht="12.75">
      <c r="A509" s="163">
        <v>0.48</v>
      </c>
      <c r="B509" s="164">
        <f t="shared" si="14"/>
        <v>48.95355713177776</v>
      </c>
      <c r="C509" s="165">
        <f t="shared" si="15"/>
        <v>55175.308476943625</v>
      </c>
      <c r="D509" s="145"/>
    </row>
    <row r="510" spans="1:4" ht="12.75">
      <c r="A510" s="163">
        <v>0.481</v>
      </c>
      <c r="B510" s="164">
        <f t="shared" si="14"/>
        <v>48.9558810793742</v>
      </c>
      <c r="C510" s="165">
        <f t="shared" si="15"/>
        <v>55176.41960348331</v>
      </c>
      <c r="D510" s="145"/>
    </row>
    <row r="511" spans="1:4" ht="12.75">
      <c r="A511" s="163">
        <v>0.482</v>
      </c>
      <c r="B511" s="164">
        <f t="shared" si="14"/>
        <v>48.95820474913231</v>
      </c>
      <c r="C511" s="165">
        <f t="shared" si="15"/>
        <v>55177.53129471122</v>
      </c>
      <c r="D511" s="145"/>
    </row>
    <row r="512" spans="1:4" ht="12.75">
      <c r="A512" s="163">
        <v>0.483</v>
      </c>
      <c r="B512" s="164">
        <f t="shared" si="14"/>
        <v>48.96052815574662</v>
      </c>
      <c r="C512" s="165">
        <f t="shared" si="15"/>
        <v>55178.643557385025</v>
      </c>
      <c r="D512" s="145"/>
    </row>
    <row r="513" spans="1:4" ht="12.75">
      <c r="A513" s="163">
        <v>0.484</v>
      </c>
      <c r="B513" s="164">
        <f t="shared" si="14"/>
        <v>48.96285131390009</v>
      </c>
      <c r="C513" s="165">
        <f t="shared" si="15"/>
        <v>55179.756398274585</v>
      </c>
      <c r="D513" s="145"/>
    </row>
    <row r="514" spans="1:4" ht="12.75">
      <c r="A514" s="163">
        <v>0.485</v>
      </c>
      <c r="B514" s="164">
        <f t="shared" si="14"/>
        <v>48.965174238264666</v>
      </c>
      <c r="C514" s="165">
        <f t="shared" si="15"/>
        <v>55180.86982416196</v>
      </c>
      <c r="D514" s="145"/>
    </row>
    <row r="515" spans="1:4" ht="12.75">
      <c r="A515" s="163">
        <v>0.486</v>
      </c>
      <c r="B515" s="164">
        <f t="shared" si="14"/>
        <v>48.96749694350202</v>
      </c>
      <c r="C515" s="165">
        <f t="shared" si="15"/>
        <v>55181.98384184184</v>
      </c>
      <c r="D515" s="145"/>
    </row>
    <row r="516" spans="1:4" ht="12.75">
      <c r="A516" s="163">
        <v>0.487</v>
      </c>
      <c r="B516" s="164">
        <f t="shared" si="14"/>
        <v>48.96981944426413</v>
      </c>
      <c r="C516" s="165">
        <f t="shared" si="15"/>
        <v>55183.098458121865</v>
      </c>
      <c r="D516" s="145"/>
    </row>
    <row r="517" spans="1:4" ht="12.75">
      <c r="A517" s="163">
        <v>0.488</v>
      </c>
      <c r="B517" s="164">
        <f t="shared" si="14"/>
        <v>48.97214175519399</v>
      </c>
      <c r="C517" s="165">
        <f t="shared" si="15"/>
        <v>55184.21367982287</v>
      </c>
      <c r="D517" s="145"/>
    </row>
    <row r="518" spans="1:4" ht="12.75">
      <c r="A518" s="163">
        <v>0.489</v>
      </c>
      <c r="B518" s="164">
        <f t="shared" si="14"/>
        <v>48.974463890926195</v>
      </c>
      <c r="C518" s="165">
        <f t="shared" si="15"/>
        <v>55185.32951377916</v>
      </c>
      <c r="D518" s="145"/>
    </row>
    <row r="519" spans="1:4" ht="12.75">
      <c r="A519" s="163">
        <v>0.49</v>
      </c>
      <c r="B519" s="164">
        <f t="shared" si="14"/>
        <v>48.976785866087646</v>
      </c>
      <c r="C519" s="165">
        <f t="shared" si="15"/>
        <v>55186.44596683886</v>
      </c>
      <c r="D519" s="145"/>
    </row>
    <row r="520" spans="1:4" ht="12.75">
      <c r="A520" s="163">
        <v>0.491</v>
      </c>
      <c r="B520" s="164">
        <f t="shared" si="14"/>
        <v>48.97910769529816</v>
      </c>
      <c r="C520" s="165">
        <f t="shared" si="15"/>
        <v>55187.56304586414</v>
      </c>
      <c r="D520" s="145"/>
    </row>
    <row r="521" spans="1:4" ht="12.75">
      <c r="A521" s="163">
        <v>0.492</v>
      </c>
      <c r="B521" s="164">
        <f t="shared" si="14"/>
        <v>48.98142939317114</v>
      </c>
      <c r="C521" s="165">
        <f t="shared" si="15"/>
        <v>55188.68075773156</v>
      </c>
      <c r="D521" s="145"/>
    </row>
    <row r="522" spans="1:4" ht="12.75">
      <c r="A522" s="163">
        <v>0.493</v>
      </c>
      <c r="B522" s="164">
        <f t="shared" si="14"/>
        <v>48.983750974314184</v>
      </c>
      <c r="C522" s="165">
        <f t="shared" si="15"/>
        <v>55189.79910933239</v>
      </c>
      <c r="D522" s="145"/>
    </row>
    <row r="523" spans="1:4" ht="12.75">
      <c r="A523" s="163">
        <v>0.494</v>
      </c>
      <c r="B523" s="164">
        <f t="shared" si="14"/>
        <v>48.986072453329776</v>
      </c>
      <c r="C523" s="165">
        <f t="shared" si="15"/>
        <v>55190.9181075728</v>
      </c>
      <c r="D523" s="145"/>
    </row>
    <row r="524" spans="1:4" ht="12.75">
      <c r="A524" s="163">
        <v>0.495</v>
      </c>
      <c r="B524" s="164">
        <f t="shared" si="14"/>
        <v>48.988393844815896</v>
      </c>
      <c r="C524" s="165">
        <f t="shared" si="15"/>
        <v>55192.037759374325</v>
      </c>
      <c r="D524" s="145"/>
    </row>
    <row r="525" spans="1:4" ht="12.75">
      <c r="A525" s="163">
        <v>0.496</v>
      </c>
      <c r="B525" s="164">
        <f t="shared" si="14"/>
        <v>48.990715163366666</v>
      </c>
      <c r="C525" s="165">
        <f t="shared" si="15"/>
        <v>55193.15807167396</v>
      </c>
      <c r="D525" s="145"/>
    </row>
    <row r="526" spans="1:4" ht="12.75">
      <c r="A526" s="163">
        <v>0.497</v>
      </c>
      <c r="B526" s="164">
        <f t="shared" si="14"/>
        <v>48.993036423573</v>
      </c>
      <c r="C526" s="165">
        <f t="shared" si="15"/>
        <v>55194.279051424666</v>
      </c>
      <c r="D526" s="145"/>
    </row>
    <row r="527" spans="1:4" ht="12.75">
      <c r="A527" s="163">
        <v>0.498</v>
      </c>
      <c r="B527" s="164">
        <f t="shared" si="14"/>
        <v>48.99535764002327</v>
      </c>
      <c r="C527" s="165">
        <f t="shared" si="15"/>
        <v>55195.40070559554</v>
      </c>
      <c r="D527" s="145"/>
    </row>
    <row r="528" spans="1:4" ht="12.75">
      <c r="A528" s="163">
        <v>0.499</v>
      </c>
      <c r="B528" s="164">
        <f t="shared" si="14"/>
        <v>48.997678827303886</v>
      </c>
      <c r="C528" s="165">
        <f t="shared" si="15"/>
        <v>55196.52304117216</v>
      </c>
      <c r="D528" s="145"/>
    </row>
    <row r="529" spans="1:4" ht="12.75">
      <c r="A529" s="163">
        <v>0.5</v>
      </c>
      <c r="B529" s="164">
        <f t="shared" si="14"/>
        <v>49</v>
      </c>
      <c r="C529" s="165">
        <f t="shared" si="15"/>
        <v>55197.646065156856</v>
      </c>
      <c r="D529" s="145"/>
    </row>
    <row r="530" spans="1:4" ht="12.75">
      <c r="A530" s="163">
        <v>0.501</v>
      </c>
      <c r="B530" s="164">
        <f t="shared" si="14"/>
        <v>49.002321172696114</v>
      </c>
      <c r="C530" s="165">
        <f t="shared" si="15"/>
        <v>55198.76978456915</v>
      </c>
      <c r="D530" s="145"/>
    </row>
    <row r="531" spans="1:4" ht="12.75">
      <c r="A531" s="163">
        <v>0.502</v>
      </c>
      <c r="B531" s="164">
        <f t="shared" si="14"/>
        <v>49.00464235997673</v>
      </c>
      <c r="C531" s="165">
        <f t="shared" si="15"/>
        <v>55199.89420644582</v>
      </c>
      <c r="D531" s="145"/>
    </row>
    <row r="532" spans="1:4" ht="12.75">
      <c r="A532" s="163">
        <v>0.503</v>
      </c>
      <c r="B532" s="164">
        <f t="shared" si="14"/>
        <v>49.006963576427</v>
      </c>
      <c r="C532" s="165">
        <f t="shared" si="15"/>
        <v>55201.019337841455</v>
      </c>
      <c r="D532" s="145"/>
    </row>
    <row r="533" spans="1:4" ht="12.75">
      <c r="A533" s="163">
        <v>0.504</v>
      </c>
      <c r="B533" s="164">
        <f t="shared" si="14"/>
        <v>49.009284836633334</v>
      </c>
      <c r="C533" s="165">
        <f t="shared" si="15"/>
        <v>55202.14518582862</v>
      </c>
      <c r="D533" s="145"/>
    </row>
    <row r="534" spans="1:4" ht="12.75">
      <c r="A534" s="163">
        <v>0.505</v>
      </c>
      <c r="B534" s="164">
        <f t="shared" si="14"/>
        <v>49.011606155184104</v>
      </c>
      <c r="C534" s="165">
        <f t="shared" si="15"/>
        <v>55203.27175749822</v>
      </c>
      <c r="D534" s="145"/>
    </row>
    <row r="535" spans="1:4" ht="12.75">
      <c r="A535" s="163">
        <v>0.506</v>
      </c>
      <c r="B535" s="164">
        <f t="shared" si="14"/>
        <v>49.013927546670224</v>
      </c>
      <c r="C535" s="165">
        <f t="shared" si="15"/>
        <v>55204.39905995982</v>
      </c>
      <c r="D535" s="145"/>
    </row>
    <row r="536" spans="1:4" ht="12.75">
      <c r="A536" s="163">
        <v>0.507</v>
      </c>
      <c r="B536" s="164">
        <f t="shared" si="14"/>
        <v>49.016249025685816</v>
      </c>
      <c r="C536" s="165">
        <f t="shared" si="15"/>
        <v>55205.52710034193</v>
      </c>
      <c r="D536" s="145"/>
    </row>
    <row r="537" spans="1:4" ht="12.75">
      <c r="A537" s="163">
        <v>0.508</v>
      </c>
      <c r="B537" s="164">
        <f t="shared" si="14"/>
        <v>49.01857060682886</v>
      </c>
      <c r="C537" s="165">
        <f t="shared" si="15"/>
        <v>55206.655885792316</v>
      </c>
      <c r="D537" s="145"/>
    </row>
    <row r="538" spans="1:4" ht="12.75">
      <c r="A538" s="163">
        <v>0.509</v>
      </c>
      <c r="B538" s="164">
        <f t="shared" si="14"/>
        <v>49.02089230470184</v>
      </c>
      <c r="C538" s="165">
        <f t="shared" si="15"/>
        <v>55207.785423478366</v>
      </c>
      <c r="D538" s="145"/>
    </row>
    <row r="539" spans="1:4" ht="12.75">
      <c r="A539" s="163">
        <v>0.51</v>
      </c>
      <c r="B539" s="164">
        <f t="shared" si="14"/>
        <v>49.023214133912354</v>
      </c>
      <c r="C539" s="165">
        <f t="shared" si="15"/>
        <v>55208.91572058735</v>
      </c>
      <c r="D539" s="145"/>
    </row>
    <row r="540" spans="1:4" ht="12.75">
      <c r="A540" s="163">
        <v>0.511</v>
      </c>
      <c r="B540" s="164">
        <f t="shared" si="14"/>
        <v>49.025536109073805</v>
      </c>
      <c r="C540" s="165">
        <f t="shared" si="15"/>
        <v>55210.04678432685</v>
      </c>
      <c r="D540" s="145"/>
    </row>
    <row r="541" spans="1:4" ht="12.75">
      <c r="A541" s="163">
        <v>0.512</v>
      </c>
      <c r="B541" s="164">
        <f t="shared" si="14"/>
        <v>49.02785824480601</v>
      </c>
      <c r="C541" s="165">
        <f t="shared" si="15"/>
        <v>55211.17862192491</v>
      </c>
      <c r="D541" s="145"/>
    </row>
    <row r="542" spans="1:4" ht="12.75">
      <c r="A542" s="163">
        <v>0.513</v>
      </c>
      <c r="B542" s="164">
        <f aca="true" t="shared" si="16" ref="B542:B605">$C$6+NORMSINV($A542)*$C$11*$C$6</f>
        <v>49.03018055573587</v>
      </c>
      <c r="C542" s="165">
        <f aca="true" t="shared" si="17" ref="C542:C605">EPortfolio($C$5+1/252,$B542,$C$7,$C$8,$C$9,,$C$10,$H$7:$L$10,0)</f>
        <v>55212.31124063051</v>
      </c>
      <c r="D542" s="145"/>
    </row>
    <row r="543" spans="1:4" ht="12.75">
      <c r="A543" s="163">
        <v>0.514</v>
      </c>
      <c r="B543" s="164">
        <f t="shared" si="16"/>
        <v>49.03250305649798</v>
      </c>
      <c r="C543" s="165">
        <f t="shared" si="17"/>
        <v>55213.44464771389</v>
      </c>
      <c r="D543" s="145"/>
    </row>
    <row r="544" spans="1:4" ht="12.75">
      <c r="A544" s="163">
        <v>0.515</v>
      </c>
      <c r="B544" s="164">
        <f t="shared" si="16"/>
        <v>49.034825761735334</v>
      </c>
      <c r="C544" s="165">
        <f t="shared" si="17"/>
        <v>55214.57885046672</v>
      </c>
      <c r="D544" s="145"/>
    </row>
    <row r="545" spans="1:4" ht="12.75">
      <c r="A545" s="163">
        <v>0.516</v>
      </c>
      <c r="B545" s="164">
        <f t="shared" si="16"/>
        <v>49.03714868609991</v>
      </c>
      <c r="C545" s="165">
        <f t="shared" si="17"/>
        <v>55215.713856202616</v>
      </c>
      <c r="D545" s="145"/>
    </row>
    <row r="546" spans="1:4" ht="12.75">
      <c r="A546" s="163">
        <v>0.517</v>
      </c>
      <c r="B546" s="164">
        <f t="shared" si="16"/>
        <v>49.03947184425338</v>
      </c>
      <c r="C546" s="165">
        <f t="shared" si="17"/>
        <v>55216.84967225744</v>
      </c>
      <c r="D546" s="145"/>
    </row>
    <row r="547" spans="1:4" ht="12.75">
      <c r="A547" s="163">
        <v>0.518</v>
      </c>
      <c r="B547" s="164">
        <f t="shared" si="16"/>
        <v>49.04179525086769</v>
      </c>
      <c r="C547" s="165">
        <f t="shared" si="17"/>
        <v>55217.986305989485</v>
      </c>
      <c r="D547" s="145"/>
    </row>
    <row r="548" spans="1:4" ht="12.75">
      <c r="A548" s="163">
        <v>0.519</v>
      </c>
      <c r="B548" s="164">
        <f t="shared" si="16"/>
        <v>49.0441189206258</v>
      </c>
      <c r="C548" s="165">
        <f t="shared" si="17"/>
        <v>55219.12376478006</v>
      </c>
      <c r="D548" s="145"/>
    </row>
    <row r="549" spans="1:4" ht="12.75">
      <c r="A549" s="163">
        <v>0.52</v>
      </c>
      <c r="B549" s="164">
        <f t="shared" si="16"/>
        <v>49.04644286822224</v>
      </c>
      <c r="C549" s="165">
        <f t="shared" si="17"/>
        <v>55220.26205603352</v>
      </c>
      <c r="D549" s="145"/>
    </row>
    <row r="550" spans="1:4" ht="12.75">
      <c r="A550" s="163">
        <v>0.521</v>
      </c>
      <c r="B550" s="164">
        <f t="shared" si="16"/>
        <v>49.04876710836384</v>
      </c>
      <c r="C550" s="165">
        <f t="shared" si="17"/>
        <v>55221.40118717793</v>
      </c>
      <c r="D550" s="145"/>
    </row>
    <row r="551" spans="1:4" ht="12.75">
      <c r="A551" s="163">
        <v>0.522</v>
      </c>
      <c r="B551" s="164">
        <f t="shared" si="16"/>
        <v>49.05109165577036</v>
      </c>
      <c r="C551" s="165">
        <f t="shared" si="17"/>
        <v>55222.541165665185</v>
      </c>
      <c r="D551" s="145"/>
    </row>
    <row r="552" spans="1:4" ht="12.75">
      <c r="A552" s="163">
        <v>0.523</v>
      </c>
      <c r="B552" s="164">
        <f t="shared" si="16"/>
        <v>49.05341652517511</v>
      </c>
      <c r="C552" s="165">
        <f t="shared" si="17"/>
        <v>55223.68199897143</v>
      </c>
      <c r="D552" s="145"/>
    </row>
    <row r="553" spans="1:4" ht="12.75">
      <c r="A553" s="163">
        <v>0.524</v>
      </c>
      <c r="B553" s="164">
        <f t="shared" si="16"/>
        <v>49.05574173132569</v>
      </c>
      <c r="C553" s="165">
        <f t="shared" si="17"/>
        <v>55224.82369459743</v>
      </c>
      <c r="D553" s="145"/>
    </row>
    <row r="554" spans="1:4" ht="12.75">
      <c r="A554" s="163">
        <v>0.525</v>
      </c>
      <c r="B554" s="164">
        <f t="shared" si="16"/>
        <v>49.05806728898456</v>
      </c>
      <c r="C554" s="165">
        <f t="shared" si="17"/>
        <v>55225.96626006887</v>
      </c>
      <c r="D554" s="145"/>
    </row>
    <row r="555" spans="1:4" ht="12.75">
      <c r="A555" s="163">
        <v>0.526</v>
      </c>
      <c r="B555" s="164">
        <f t="shared" si="16"/>
        <v>49.06039321292978</v>
      </c>
      <c r="C555" s="165">
        <f t="shared" si="17"/>
        <v>55227.10970293674</v>
      </c>
      <c r="D555" s="145"/>
    </row>
    <row r="556" spans="1:4" ht="12.75">
      <c r="A556" s="163">
        <v>0.527</v>
      </c>
      <c r="B556" s="164">
        <f t="shared" si="16"/>
        <v>49.06271951795563</v>
      </c>
      <c r="C556" s="165">
        <f t="shared" si="17"/>
        <v>55228.25403077769</v>
      </c>
      <c r="D556" s="145"/>
    </row>
    <row r="557" spans="1:4" ht="12.75">
      <c r="A557" s="163">
        <v>0.528</v>
      </c>
      <c r="B557" s="164">
        <f t="shared" si="16"/>
        <v>49.06504621887325</v>
      </c>
      <c r="C557" s="165">
        <f t="shared" si="17"/>
        <v>55229.39925119438</v>
      </c>
      <c r="D557" s="145"/>
    </row>
    <row r="558" spans="1:4" ht="12.75">
      <c r="A558" s="163">
        <v>0.529</v>
      </c>
      <c r="B558" s="164">
        <f t="shared" si="16"/>
        <v>49.06737333051139</v>
      </c>
      <c r="C558" s="165">
        <f t="shared" si="17"/>
        <v>55230.545371815795</v>
      </c>
      <c r="D558" s="145"/>
    </row>
    <row r="559" spans="1:4" ht="12.75">
      <c r="A559" s="163">
        <v>0.53</v>
      </c>
      <c r="B559" s="164">
        <f t="shared" si="16"/>
        <v>49.069700867716996</v>
      </c>
      <c r="C559" s="165">
        <f t="shared" si="17"/>
        <v>55231.6924002977</v>
      </c>
      <c r="D559" s="145"/>
    </row>
    <row r="560" spans="1:4" ht="12.75">
      <c r="A560" s="163">
        <v>0.531</v>
      </c>
      <c r="B560" s="164">
        <f t="shared" si="16"/>
        <v>49.07202884535594</v>
      </c>
      <c r="C560" s="165">
        <f t="shared" si="17"/>
        <v>55232.84034432294</v>
      </c>
      <c r="D560" s="145"/>
    </row>
    <row r="561" spans="1:4" ht="12.75">
      <c r="A561" s="163">
        <v>0.532</v>
      </c>
      <c r="B561" s="164">
        <f t="shared" si="16"/>
        <v>49.07435727831365</v>
      </c>
      <c r="C561" s="165">
        <f t="shared" si="17"/>
        <v>55233.989211601816</v>
      </c>
      <c r="D561" s="145"/>
    </row>
    <row r="562" spans="1:4" ht="12.75">
      <c r="A562" s="163">
        <v>0.533</v>
      </c>
      <c r="B562" s="164">
        <f t="shared" si="16"/>
        <v>49.07668618149582</v>
      </c>
      <c r="C562" s="165">
        <f t="shared" si="17"/>
        <v>55235.13900987248</v>
      </c>
      <c r="D562" s="145"/>
    </row>
    <row r="563" spans="1:4" ht="12.75">
      <c r="A563" s="163">
        <v>0.534</v>
      </c>
      <c r="B563" s="164">
        <f t="shared" si="16"/>
        <v>49.079015569829075</v>
      </c>
      <c r="C563" s="165">
        <f t="shared" si="17"/>
        <v>55236.289746901224</v>
      </c>
      <c r="D563" s="145"/>
    </row>
    <row r="564" spans="1:4" ht="12.75">
      <c r="A564" s="163">
        <v>0.535</v>
      </c>
      <c r="B564" s="164">
        <f t="shared" si="16"/>
        <v>49.08134545826164</v>
      </c>
      <c r="C564" s="165">
        <f t="shared" si="17"/>
        <v>55237.441430482984</v>
      </c>
      <c r="D564" s="145"/>
    </row>
    <row r="565" spans="1:4" ht="12.75">
      <c r="A565" s="163">
        <v>0.536</v>
      </c>
      <c r="B565" s="164">
        <f t="shared" si="16"/>
        <v>49.08367586176404</v>
      </c>
      <c r="C565" s="165">
        <f t="shared" si="17"/>
        <v>55238.59406844161</v>
      </c>
      <c r="D565" s="145"/>
    </row>
    <row r="566" spans="1:4" ht="12.75">
      <c r="A566" s="163">
        <v>0.537</v>
      </c>
      <c r="B566" s="164">
        <f t="shared" si="16"/>
        <v>49.0860067953298</v>
      </c>
      <c r="C566" s="165">
        <f t="shared" si="17"/>
        <v>55239.74766863034</v>
      </c>
      <c r="D566" s="145"/>
    </row>
    <row r="567" spans="1:4" ht="12.75">
      <c r="A567" s="163">
        <v>0.538</v>
      </c>
      <c r="B567" s="164">
        <f t="shared" si="16"/>
        <v>49.08833827397608</v>
      </c>
      <c r="C567" s="165">
        <f t="shared" si="17"/>
        <v>55240.90223893209</v>
      </c>
      <c r="D567" s="145"/>
    </row>
    <row r="568" spans="1:4" ht="12.75">
      <c r="A568" s="163">
        <v>0.539</v>
      </c>
      <c r="B568" s="164">
        <f t="shared" si="16"/>
        <v>49.090670312744415</v>
      </c>
      <c r="C568" s="165">
        <f t="shared" si="17"/>
        <v>55242.05778725984</v>
      </c>
      <c r="D568" s="145"/>
    </row>
    <row r="569" spans="1:4" ht="12.75">
      <c r="A569" s="163">
        <v>0.54</v>
      </c>
      <c r="B569" s="164">
        <f t="shared" si="16"/>
        <v>49.09300292670141</v>
      </c>
      <c r="C569" s="165">
        <f t="shared" si="17"/>
        <v>55243.21432155716</v>
      </c>
      <c r="D569" s="145"/>
    </row>
    <row r="570" spans="1:4" ht="12.75">
      <c r="A570" s="163">
        <v>0.541</v>
      </c>
      <c r="B570" s="164">
        <f t="shared" si="16"/>
        <v>49.09533613093941</v>
      </c>
      <c r="C570" s="165">
        <f t="shared" si="17"/>
        <v>55244.37184979847</v>
      </c>
      <c r="D570" s="145"/>
    </row>
    <row r="571" spans="1:4" ht="12.75">
      <c r="A571" s="163">
        <v>0.542</v>
      </c>
      <c r="B571" s="164">
        <f t="shared" si="16"/>
        <v>49.0976699405772</v>
      </c>
      <c r="C571" s="165">
        <f t="shared" si="17"/>
        <v>55245.53037998942</v>
      </c>
      <c r="D571" s="145"/>
    </row>
    <row r="572" spans="1:4" ht="12.75">
      <c r="A572" s="163">
        <v>0.543</v>
      </c>
      <c r="B572" s="164">
        <f t="shared" si="16"/>
        <v>49.10000437076074</v>
      </c>
      <c r="C572" s="165">
        <f t="shared" si="17"/>
        <v>55246.68992016739</v>
      </c>
      <c r="D572" s="145"/>
    </row>
    <row r="573" spans="1:4" ht="12.75">
      <c r="A573" s="163">
        <v>0.544</v>
      </c>
      <c r="B573" s="164">
        <f t="shared" si="16"/>
        <v>49.102339436663854</v>
      </c>
      <c r="C573" s="165">
        <f t="shared" si="17"/>
        <v>55247.85047840186</v>
      </c>
      <c r="D573" s="145"/>
    </row>
    <row r="574" spans="1:4" ht="12.75">
      <c r="A574" s="163">
        <v>0.545</v>
      </c>
      <c r="B574" s="164">
        <f t="shared" si="16"/>
        <v>49.10467515348891</v>
      </c>
      <c r="C574" s="165">
        <f t="shared" si="17"/>
        <v>55249.012062794754</v>
      </c>
      <c r="D574" s="145"/>
    </row>
    <row r="575" spans="1:4" ht="12.75">
      <c r="A575" s="163">
        <v>0.546</v>
      </c>
      <c r="B575" s="164">
        <f t="shared" si="16"/>
        <v>49.1070115364676</v>
      </c>
      <c r="C575" s="165">
        <f t="shared" si="17"/>
        <v>55250.17468148091</v>
      </c>
      <c r="D575" s="145"/>
    </row>
    <row r="576" spans="1:4" ht="12.75">
      <c r="A576" s="163">
        <v>0.547</v>
      </c>
      <c r="B576" s="164">
        <f t="shared" si="16"/>
        <v>49.10934860086158</v>
      </c>
      <c r="C576" s="165">
        <f t="shared" si="17"/>
        <v>55251.33834262847</v>
      </c>
      <c r="D576" s="145"/>
    </row>
    <row r="577" spans="1:4" ht="12.75">
      <c r="A577" s="163">
        <v>0.548</v>
      </c>
      <c r="B577" s="164">
        <f t="shared" si="16"/>
        <v>49.11168636196325</v>
      </c>
      <c r="C577" s="165">
        <f t="shared" si="17"/>
        <v>55252.50305443929</v>
      </c>
      <c r="D577" s="145"/>
    </row>
    <row r="578" spans="1:4" ht="12.75">
      <c r="A578" s="163">
        <v>0.549</v>
      </c>
      <c r="B578" s="164">
        <f t="shared" si="16"/>
        <v>49.114024835096444</v>
      </c>
      <c r="C578" s="165">
        <f t="shared" si="17"/>
        <v>55253.668825149405</v>
      </c>
      <c r="D578" s="145"/>
    </row>
    <row r="579" spans="1:4" ht="12.75">
      <c r="A579" s="163">
        <v>0.55</v>
      </c>
      <c r="B579" s="164">
        <f t="shared" si="16"/>
        <v>49.11636403561718</v>
      </c>
      <c r="C579" s="165">
        <f t="shared" si="17"/>
        <v>55254.835663029335</v>
      </c>
      <c r="D579" s="145"/>
    </row>
    <row r="580" spans="1:4" ht="12.75">
      <c r="A580" s="163">
        <v>0.551</v>
      </c>
      <c r="B580" s="164">
        <f t="shared" si="16"/>
        <v>49.118703978914375</v>
      </c>
      <c r="C580" s="165">
        <f t="shared" si="17"/>
        <v>55256.00357638465</v>
      </c>
      <c r="D580" s="145"/>
    </row>
    <row r="581" spans="1:4" ht="12.75">
      <c r="A581" s="163">
        <v>0.552</v>
      </c>
      <c r="B581" s="164">
        <f t="shared" si="16"/>
        <v>49.12104468041057</v>
      </c>
      <c r="C581" s="165">
        <f t="shared" si="17"/>
        <v>55257.17257355631</v>
      </c>
      <c r="D581" s="145"/>
    </row>
    <row r="582" spans="1:4" ht="12.75">
      <c r="A582" s="163">
        <v>0.553</v>
      </c>
      <c r="B582" s="164">
        <f t="shared" si="16"/>
        <v>49.123386155562706</v>
      </c>
      <c r="C582" s="165">
        <f t="shared" si="17"/>
        <v>55258.342662921146</v>
      </c>
      <c r="D582" s="145"/>
    </row>
    <row r="583" spans="1:4" ht="12.75">
      <c r="A583" s="163">
        <v>0.554</v>
      </c>
      <c r="B583" s="164">
        <f t="shared" si="16"/>
        <v>49.12572841986283</v>
      </c>
      <c r="C583" s="165">
        <f t="shared" si="17"/>
        <v>55259.51385289224</v>
      </c>
      <c r="D583" s="145"/>
    </row>
    <row r="584" spans="1:4" ht="12.75">
      <c r="A584" s="163">
        <v>0.555</v>
      </c>
      <c r="B584" s="164">
        <f t="shared" si="16"/>
        <v>49.12807148883887</v>
      </c>
      <c r="C584" s="165">
        <f t="shared" si="17"/>
        <v>55260.68615191939</v>
      </c>
      <c r="D584" s="145"/>
    </row>
    <row r="585" spans="1:4" ht="12.75">
      <c r="A585" s="163">
        <v>0.556</v>
      </c>
      <c r="B585" s="164">
        <f t="shared" si="16"/>
        <v>49.13041537805536</v>
      </c>
      <c r="C585" s="165">
        <f t="shared" si="17"/>
        <v>55261.859568489606</v>
      </c>
      <c r="D585" s="145"/>
    </row>
    <row r="586" spans="1:4" ht="12.75">
      <c r="A586" s="163">
        <v>0.557</v>
      </c>
      <c r="B586" s="164">
        <f t="shared" si="16"/>
        <v>49.13276010311422</v>
      </c>
      <c r="C586" s="165">
        <f t="shared" si="17"/>
        <v>55263.034111127505</v>
      </c>
      <c r="D586" s="145"/>
    </row>
    <row r="587" spans="1:4" ht="12.75">
      <c r="A587" s="163">
        <v>0.558</v>
      </c>
      <c r="B587" s="164">
        <f t="shared" si="16"/>
        <v>49.13510567965551</v>
      </c>
      <c r="C587" s="165">
        <f t="shared" si="17"/>
        <v>55264.209788395696</v>
      </c>
      <c r="D587" s="145"/>
    </row>
    <row r="588" spans="1:4" ht="12.75">
      <c r="A588" s="163">
        <v>0.559</v>
      </c>
      <c r="B588" s="164">
        <f t="shared" si="16"/>
        <v>49.13745212335817</v>
      </c>
      <c r="C588" s="165">
        <f t="shared" si="17"/>
        <v>55265.38660889542</v>
      </c>
      <c r="D588" s="145"/>
    </row>
    <row r="589" spans="1:4" ht="12.75">
      <c r="A589" s="163">
        <v>0.56</v>
      </c>
      <c r="B589" s="164">
        <f t="shared" si="16"/>
        <v>49.139799449940845</v>
      </c>
      <c r="C589" s="165">
        <f t="shared" si="17"/>
        <v>55266.564581266815</v>
      </c>
      <c r="D589" s="145"/>
    </row>
    <row r="590" spans="1:4" ht="12.75">
      <c r="A590" s="163">
        <v>0.561</v>
      </c>
      <c r="B590" s="164">
        <f t="shared" si="16"/>
        <v>49.142147675162605</v>
      </c>
      <c r="C590" s="165">
        <f t="shared" si="17"/>
        <v>55267.74371418953</v>
      </c>
      <c r="D590" s="145"/>
    </row>
    <row r="591" spans="1:4" ht="12.75">
      <c r="A591" s="163">
        <v>0.562</v>
      </c>
      <c r="B591" s="164">
        <f t="shared" si="16"/>
        <v>49.14449681482374</v>
      </c>
      <c r="C591" s="165">
        <f t="shared" si="17"/>
        <v>55268.924016383055</v>
      </c>
      <c r="D591" s="145"/>
    </row>
    <row r="592" spans="1:4" ht="12.75">
      <c r="A592" s="163">
        <v>0.5630000000000001</v>
      </c>
      <c r="B592" s="164">
        <f t="shared" si="16"/>
        <v>49.146846884766575</v>
      </c>
      <c r="C592" s="165">
        <f t="shared" si="17"/>
        <v>55270.10549660734</v>
      </c>
      <c r="D592" s="145"/>
    </row>
    <row r="593" spans="1:4" ht="12.75">
      <c r="A593" s="163">
        <v>0.5640000000000001</v>
      </c>
      <c r="B593" s="164">
        <f t="shared" si="16"/>
        <v>49.14919790087621</v>
      </c>
      <c r="C593" s="165">
        <f t="shared" si="17"/>
        <v>55271.288163663165</v>
      </c>
      <c r="D593" s="145"/>
    </row>
    <row r="594" spans="1:4" ht="12.75">
      <c r="A594" s="163">
        <v>0.565</v>
      </c>
      <c r="B594" s="164">
        <f t="shared" si="16"/>
        <v>49.151549879081365</v>
      </c>
      <c r="C594" s="165">
        <f t="shared" si="17"/>
        <v>55272.47202639265</v>
      </c>
      <c r="D594" s="145"/>
    </row>
    <row r="595" spans="1:4" ht="12.75">
      <c r="A595" s="163">
        <v>0.5660000000000001</v>
      </c>
      <c r="B595" s="164">
        <f t="shared" si="16"/>
        <v>49.153902835355126</v>
      </c>
      <c r="C595" s="165">
        <f t="shared" si="17"/>
        <v>55273.65709367972</v>
      </c>
      <c r="D595" s="145"/>
    </row>
    <row r="596" spans="1:4" ht="12.75">
      <c r="A596" s="163">
        <v>0.5670000000000001</v>
      </c>
      <c r="B596" s="164">
        <f t="shared" si="16"/>
        <v>49.1562567857158</v>
      </c>
      <c r="C596" s="165">
        <f t="shared" si="17"/>
        <v>55274.84337445069</v>
      </c>
      <c r="D596" s="145"/>
    </row>
    <row r="597" spans="1:4" ht="12.75">
      <c r="A597" s="163">
        <v>0.5680000000000001</v>
      </c>
      <c r="B597" s="164">
        <f t="shared" si="16"/>
        <v>49.158611746227706</v>
      </c>
      <c r="C597" s="165">
        <f t="shared" si="17"/>
        <v>55276.030877674624</v>
      </c>
      <c r="D597" s="145"/>
    </row>
    <row r="598" spans="1:4" ht="12.75">
      <c r="A598" s="163">
        <v>0.5690000000000001</v>
      </c>
      <c r="B598" s="164">
        <f t="shared" si="16"/>
        <v>49.160967733001975</v>
      </c>
      <c r="C598" s="165">
        <f t="shared" si="17"/>
        <v>55277.21961236396</v>
      </c>
      <c r="D598" s="145"/>
    </row>
    <row r="599" spans="1:4" ht="12.75">
      <c r="A599" s="163">
        <v>0.57</v>
      </c>
      <c r="B599" s="164">
        <f t="shared" si="16"/>
        <v>49.16332476219741</v>
      </c>
      <c r="C599" s="165">
        <f t="shared" si="17"/>
        <v>55278.4095875749</v>
      </c>
      <c r="D599" s="145"/>
    </row>
    <row r="600" spans="1:4" ht="12.75">
      <c r="A600" s="163">
        <v>0.5710000000000001</v>
      </c>
      <c r="B600" s="164">
        <f t="shared" si="16"/>
        <v>49.16568285002128</v>
      </c>
      <c r="C600" s="165">
        <f t="shared" si="17"/>
        <v>55279.60081240798</v>
      </c>
      <c r="D600" s="145"/>
    </row>
    <row r="601" spans="1:4" ht="12.75">
      <c r="A601" s="163">
        <v>0.5720000000000001</v>
      </c>
      <c r="B601" s="164">
        <f t="shared" si="16"/>
        <v>49.16804201273017</v>
      </c>
      <c r="C601" s="165">
        <f t="shared" si="17"/>
        <v>55280.79329600862</v>
      </c>
      <c r="D601" s="145"/>
    </row>
    <row r="602" spans="1:4" ht="12.75">
      <c r="A602" s="163">
        <v>0.5730000000000001</v>
      </c>
      <c r="B602" s="164">
        <f t="shared" si="16"/>
        <v>49.17040226663081</v>
      </c>
      <c r="C602" s="165">
        <f t="shared" si="17"/>
        <v>55281.987047567585</v>
      </c>
      <c r="D602" s="145"/>
    </row>
    <row r="603" spans="1:4" ht="12.75">
      <c r="A603" s="163">
        <v>0.5740000000000001</v>
      </c>
      <c r="B603" s="164">
        <f t="shared" si="16"/>
        <v>49.17276362808096</v>
      </c>
      <c r="C603" s="165">
        <f t="shared" si="17"/>
        <v>55283.18207632151</v>
      </c>
      <c r="D603" s="145"/>
    </row>
    <row r="604" spans="1:4" ht="12.75">
      <c r="A604" s="163">
        <v>0.575</v>
      </c>
      <c r="B604" s="164">
        <f t="shared" si="16"/>
        <v>49.1751261134902</v>
      </c>
      <c r="C604" s="165">
        <f t="shared" si="17"/>
        <v>55284.37839155345</v>
      </c>
      <c r="D604" s="145"/>
    </row>
    <row r="605" spans="1:4" ht="12.75">
      <c r="A605" s="163">
        <v>0.5760000000000001</v>
      </c>
      <c r="B605" s="164">
        <f t="shared" si="16"/>
        <v>49.17748973932084</v>
      </c>
      <c r="C605" s="165">
        <f t="shared" si="17"/>
        <v>55285.57600259343</v>
      </c>
      <c r="D605" s="145"/>
    </row>
    <row r="606" spans="1:4" ht="12.75">
      <c r="A606" s="163">
        <v>0.5770000000000001</v>
      </c>
      <c r="B606" s="164">
        <f aca="true" t="shared" si="18" ref="B606:B669">$C$6+NORMSINV($A606)*$C$11*$C$6</f>
        <v>49.179854522088775</v>
      </c>
      <c r="C606" s="165">
        <f aca="true" t="shared" si="19" ref="C606:C669">EPortfolio($C$5+1/252,$B606,$C$7,$C$8,$C$9,,$C$10,$H$7:$L$10,0)</f>
        <v>55286.77491881895</v>
      </c>
      <c r="D606" s="145"/>
    </row>
    <row r="607" spans="1:4" ht="12.75">
      <c r="A607" s="163">
        <v>0.578</v>
      </c>
      <c r="B607" s="164">
        <f t="shared" si="18"/>
        <v>49.18222047836433</v>
      </c>
      <c r="C607" s="165">
        <f t="shared" si="19"/>
        <v>55287.97514965554</v>
      </c>
      <c r="D607" s="145"/>
    </row>
    <row r="608" spans="1:4" ht="12.75">
      <c r="A608" s="163">
        <v>0.579</v>
      </c>
      <c r="B608" s="164">
        <f t="shared" si="18"/>
        <v>49.18458762477319</v>
      </c>
      <c r="C608" s="165">
        <f t="shared" si="19"/>
        <v>55289.17670457734</v>
      </c>
      <c r="D608" s="145"/>
    </row>
    <row r="609" spans="1:4" ht="12.75">
      <c r="A609" s="163">
        <v>0.58</v>
      </c>
      <c r="B609" s="164">
        <f t="shared" si="18"/>
        <v>49.18695597799723</v>
      </c>
      <c r="C609" s="165">
        <f t="shared" si="19"/>
        <v>55290.379593107624</v>
      </c>
      <c r="D609" s="145"/>
    </row>
    <row r="610" spans="1:4" ht="12.75">
      <c r="A610" s="163">
        <v>0.581</v>
      </c>
      <c r="B610" s="164">
        <f t="shared" si="18"/>
        <v>49.189325554775465</v>
      </c>
      <c r="C610" s="165">
        <f t="shared" si="19"/>
        <v>55291.58382481937</v>
      </c>
      <c r="D610" s="145"/>
    </row>
    <row r="611" spans="1:4" ht="12.75">
      <c r="A611" s="163">
        <v>0.582</v>
      </c>
      <c r="B611" s="164">
        <f t="shared" si="18"/>
        <v>49.1916963719049</v>
      </c>
      <c r="C611" s="165">
        <f t="shared" si="19"/>
        <v>55292.789409335805</v>
      </c>
      <c r="D611" s="145"/>
    </row>
    <row r="612" spans="1:4" ht="12.75">
      <c r="A612" s="163">
        <v>0.583</v>
      </c>
      <c r="B612" s="164">
        <f t="shared" si="18"/>
        <v>49.194068446241474</v>
      </c>
      <c r="C612" s="165">
        <f t="shared" si="19"/>
        <v>55293.99635633107</v>
      </c>
      <c r="D612" s="145"/>
    </row>
    <row r="613" spans="1:4" ht="12.75">
      <c r="A613" s="163">
        <v>0.584</v>
      </c>
      <c r="B613" s="164">
        <f t="shared" si="18"/>
        <v>49.19644179470095</v>
      </c>
      <c r="C613" s="165">
        <f t="shared" si="19"/>
        <v>55295.20467553066</v>
      </c>
      <c r="D613" s="145"/>
    </row>
    <row r="614" spans="1:4" ht="12.75">
      <c r="A614" s="163">
        <v>0.585</v>
      </c>
      <c r="B614" s="164">
        <f t="shared" si="18"/>
        <v>49.19881643425988</v>
      </c>
      <c r="C614" s="165">
        <f t="shared" si="19"/>
        <v>55296.414376712135</v>
      </c>
      <c r="D614" s="145"/>
    </row>
    <row r="615" spans="1:4" ht="12.75">
      <c r="A615" s="163">
        <v>0.586</v>
      </c>
      <c r="B615" s="164">
        <f t="shared" si="18"/>
        <v>49.20119238195648</v>
      </c>
      <c r="C615" s="165">
        <f t="shared" si="19"/>
        <v>55297.62546970566</v>
      </c>
      <c r="D615" s="145"/>
    </row>
    <row r="616" spans="1:4" ht="12.75">
      <c r="A616" s="163">
        <v>0.587</v>
      </c>
      <c r="B616" s="164">
        <f t="shared" si="18"/>
        <v>49.2035696548916</v>
      </c>
      <c r="C616" s="165">
        <f t="shared" si="19"/>
        <v>55298.83796439454</v>
      </c>
      <c r="D616" s="145"/>
    </row>
    <row r="617" spans="1:4" ht="12.75">
      <c r="A617" s="163">
        <v>0.588</v>
      </c>
      <c r="B617" s="164">
        <f t="shared" si="18"/>
        <v>49.205948270229676</v>
      </c>
      <c r="C617" s="165">
        <f t="shared" si="19"/>
        <v>55300.05187071598</v>
      </c>
      <c r="D617" s="145"/>
    </row>
    <row r="618" spans="1:4" ht="12.75">
      <c r="A618" s="163">
        <v>0.589</v>
      </c>
      <c r="B618" s="164">
        <f t="shared" si="18"/>
        <v>49.20832824519968</v>
      </c>
      <c r="C618" s="165">
        <f t="shared" si="19"/>
        <v>55301.267198661546</v>
      </c>
      <c r="D618" s="145"/>
    </row>
    <row r="619" spans="1:4" ht="12.75">
      <c r="A619" s="163">
        <v>0.59</v>
      </c>
      <c r="B619" s="164">
        <f t="shared" si="18"/>
        <v>49.21070959709607</v>
      </c>
      <c r="C619" s="165">
        <f t="shared" si="19"/>
        <v>55302.48395827789</v>
      </c>
      <c r="D619" s="145"/>
    </row>
    <row r="620" spans="1:4" ht="12.75">
      <c r="A620" s="163">
        <v>0.591</v>
      </c>
      <c r="B620" s="164">
        <f t="shared" si="18"/>
        <v>49.213092343279776</v>
      </c>
      <c r="C620" s="165">
        <f t="shared" si="19"/>
        <v>55303.70215966724</v>
      </c>
      <c r="D620" s="145"/>
    </row>
    <row r="621" spans="1:4" ht="12.75">
      <c r="A621" s="163">
        <v>0.592</v>
      </c>
      <c r="B621" s="164">
        <f t="shared" si="18"/>
        <v>49.21547650117919</v>
      </c>
      <c r="C621" s="165">
        <f t="shared" si="19"/>
        <v>55304.921812988214</v>
      </c>
      <c r="D621" s="145"/>
    </row>
    <row r="622" spans="1:4" ht="12.75">
      <c r="A622" s="163">
        <v>0.593</v>
      </c>
      <c r="B622" s="164">
        <f t="shared" si="18"/>
        <v>49.217862088291135</v>
      </c>
      <c r="C622" s="165">
        <f t="shared" si="19"/>
        <v>55306.14292845631</v>
      </c>
      <c r="D622" s="145"/>
    </row>
    <row r="623" spans="1:4" ht="12.75">
      <c r="A623" s="163">
        <v>0.594</v>
      </c>
      <c r="B623" s="164">
        <f t="shared" si="18"/>
        <v>49.22024912218186</v>
      </c>
      <c r="C623" s="165">
        <f t="shared" si="19"/>
        <v>55307.36551634461</v>
      </c>
      <c r="D623" s="145"/>
    </row>
    <row r="624" spans="1:4" ht="12.75">
      <c r="A624" s="163">
        <v>0.595</v>
      </c>
      <c r="B624" s="164">
        <f t="shared" si="18"/>
        <v>49.222637620488086</v>
      </c>
      <c r="C624" s="165">
        <f t="shared" si="19"/>
        <v>55308.58958698441</v>
      </c>
      <c r="D624" s="145"/>
    </row>
    <row r="625" spans="1:4" ht="12.75">
      <c r="A625" s="163">
        <v>0.596</v>
      </c>
      <c r="B625" s="164">
        <f t="shared" si="18"/>
        <v>49.225027600917976</v>
      </c>
      <c r="C625" s="165">
        <f t="shared" si="19"/>
        <v>55309.81515076591</v>
      </c>
      <c r="D625" s="145"/>
    </row>
    <row r="626" spans="1:4" ht="12.75">
      <c r="A626" s="163">
        <v>0.597</v>
      </c>
      <c r="B626" s="164">
        <f t="shared" si="18"/>
        <v>49.227419081252194</v>
      </c>
      <c r="C626" s="165">
        <f t="shared" si="19"/>
        <v>55311.04221813887</v>
      </c>
      <c r="D626" s="145"/>
    </row>
    <row r="627" spans="1:4" ht="12.75">
      <c r="A627" s="163">
        <v>0.598</v>
      </c>
      <c r="B627" s="164">
        <f t="shared" si="18"/>
        <v>49.229812079344924</v>
      </c>
      <c r="C627" s="165">
        <f t="shared" si="19"/>
        <v>55312.27079961325</v>
      </c>
      <c r="D627" s="145"/>
    </row>
    <row r="628" spans="1:4" ht="12.75">
      <c r="A628" s="163">
        <v>0.599</v>
      </c>
      <c r="B628" s="164">
        <f t="shared" si="18"/>
        <v>49.23220661312493</v>
      </c>
      <c r="C628" s="165">
        <f t="shared" si="19"/>
        <v>55313.50090575992</v>
      </c>
      <c r="D628" s="145"/>
    </row>
    <row r="629" spans="1:4" ht="12.75">
      <c r="A629" s="163">
        <v>0.6</v>
      </c>
      <c r="B629" s="164">
        <f t="shared" si="18"/>
        <v>49.23460270059658</v>
      </c>
      <c r="C629" s="165">
        <f t="shared" si="19"/>
        <v>55314.73254721139</v>
      </c>
      <c r="D629" s="145"/>
    </row>
    <row r="630" spans="1:4" ht="12.75">
      <c r="A630" s="163">
        <v>0.601</v>
      </c>
      <c r="B630" s="164">
        <f t="shared" si="18"/>
        <v>49.23700035984098</v>
      </c>
      <c r="C630" s="165">
        <f t="shared" si="19"/>
        <v>55315.9657346624</v>
      </c>
      <c r="D630" s="145"/>
    </row>
    <row r="631" spans="1:4" ht="12.75">
      <c r="A631" s="163">
        <v>0.602</v>
      </c>
      <c r="B631" s="164">
        <f t="shared" si="18"/>
        <v>49.23939960901696</v>
      </c>
      <c r="C631" s="165">
        <f t="shared" si="19"/>
        <v>55317.20047887072</v>
      </c>
      <c r="D631" s="145"/>
    </row>
    <row r="632" spans="1:4" ht="12.75">
      <c r="A632" s="163">
        <v>0.603</v>
      </c>
      <c r="B632" s="164">
        <f t="shared" si="18"/>
        <v>49.24180046636222</v>
      </c>
      <c r="C632" s="165">
        <f t="shared" si="19"/>
        <v>55318.43679065782</v>
      </c>
      <c r="D632" s="145"/>
    </row>
    <row r="633" spans="1:4" ht="12.75">
      <c r="A633" s="163">
        <v>0.604</v>
      </c>
      <c r="B633" s="164">
        <f t="shared" si="18"/>
        <v>49.24420295019443</v>
      </c>
      <c r="C633" s="165">
        <f t="shared" si="19"/>
        <v>55319.67468090958</v>
      </c>
      <c r="D633" s="145"/>
    </row>
    <row r="634" spans="1:4" ht="12.75">
      <c r="A634" s="163">
        <v>0.605</v>
      </c>
      <c r="B634" s="164">
        <f t="shared" si="18"/>
        <v>49.246607078912305</v>
      </c>
      <c r="C634" s="165">
        <f t="shared" si="19"/>
        <v>55320.9141605771</v>
      </c>
      <c r="D634" s="145"/>
    </row>
    <row r="635" spans="1:4" ht="12.75">
      <c r="A635" s="163">
        <v>0.606</v>
      </c>
      <c r="B635" s="164">
        <f t="shared" si="18"/>
        <v>49.249012870996744</v>
      </c>
      <c r="C635" s="165">
        <f t="shared" si="19"/>
        <v>55322.15524067732</v>
      </c>
      <c r="D635" s="145"/>
    </row>
    <row r="636" spans="1:4" ht="12.75">
      <c r="A636" s="163">
        <v>0.607</v>
      </c>
      <c r="B636" s="164">
        <f t="shared" si="18"/>
        <v>49.25142034501196</v>
      </c>
      <c r="C636" s="165">
        <f t="shared" si="19"/>
        <v>55323.3979322938</v>
      </c>
      <c r="D636" s="145"/>
    </row>
    <row r="637" spans="1:4" ht="12.75">
      <c r="A637" s="163">
        <v>0.608</v>
      </c>
      <c r="B637" s="164">
        <f t="shared" si="18"/>
        <v>49.25382951960662</v>
      </c>
      <c r="C637" s="165">
        <f t="shared" si="19"/>
        <v>55324.642246577576</v>
      </c>
      <c r="D637" s="145"/>
    </row>
    <row r="638" spans="1:4" ht="12.75">
      <c r="A638" s="163">
        <v>0.609</v>
      </c>
      <c r="B638" s="164">
        <f t="shared" si="18"/>
        <v>49.256240413514995</v>
      </c>
      <c r="C638" s="165">
        <f t="shared" si="19"/>
        <v>55325.88819474779</v>
      </c>
      <c r="D638" s="145"/>
    </row>
    <row r="639" spans="1:4" ht="12.75">
      <c r="A639" s="163">
        <v>0.61</v>
      </c>
      <c r="B639" s="164">
        <f t="shared" si="18"/>
        <v>49.25865304555813</v>
      </c>
      <c r="C639" s="165">
        <f t="shared" si="19"/>
        <v>55327.135788092484</v>
      </c>
      <c r="D639" s="145"/>
    </row>
    <row r="640" spans="1:4" ht="12.75">
      <c r="A640" s="163">
        <v>0.611</v>
      </c>
      <c r="B640" s="164">
        <f t="shared" si="18"/>
        <v>49.26106743464501</v>
      </c>
      <c r="C640" s="165">
        <f t="shared" si="19"/>
        <v>55328.38503796947</v>
      </c>
      <c r="D640" s="145"/>
    </row>
    <row r="641" spans="1:4" ht="12.75">
      <c r="A641" s="163">
        <v>0.612</v>
      </c>
      <c r="B641" s="164">
        <f t="shared" si="18"/>
        <v>49.26348359977377</v>
      </c>
      <c r="C641" s="165">
        <f t="shared" si="19"/>
        <v>55329.63595580705</v>
      </c>
      <c r="D641" s="145"/>
    </row>
    <row r="642" spans="1:4" ht="12.75">
      <c r="A642" s="163">
        <v>0.613</v>
      </c>
      <c r="B642" s="164">
        <f t="shared" si="18"/>
        <v>49.26590156003289</v>
      </c>
      <c r="C642" s="165">
        <f t="shared" si="19"/>
        <v>55330.88855310477</v>
      </c>
      <c r="D642" s="145"/>
    </row>
    <row r="643" spans="1:4" ht="12.75">
      <c r="A643" s="163">
        <v>0.614</v>
      </c>
      <c r="B643" s="164">
        <f t="shared" si="18"/>
        <v>49.268321334602376</v>
      </c>
      <c r="C643" s="165">
        <f t="shared" si="19"/>
        <v>55332.14284143435</v>
      </c>
      <c r="D643" s="145"/>
    </row>
    <row r="644" spans="1:4" ht="12.75">
      <c r="A644" s="163">
        <v>0.615</v>
      </c>
      <c r="B644" s="164">
        <f t="shared" si="18"/>
        <v>49.27074294275506</v>
      </c>
      <c r="C644" s="165">
        <f t="shared" si="19"/>
        <v>55333.398832440434</v>
      </c>
      <c r="D644" s="145"/>
    </row>
    <row r="645" spans="1:4" ht="12.75">
      <c r="A645" s="163">
        <v>0.616</v>
      </c>
      <c r="B645" s="164">
        <f t="shared" si="18"/>
        <v>49.27316640385775</v>
      </c>
      <c r="C645" s="165">
        <f t="shared" si="19"/>
        <v>55334.65653784136</v>
      </c>
      <c r="D645" s="145"/>
    </row>
    <row r="646" spans="1:4" ht="12.75">
      <c r="A646" s="163">
        <v>0.617</v>
      </c>
      <c r="B646" s="164">
        <f t="shared" si="18"/>
        <v>49.275591737372565</v>
      </c>
      <c r="C646" s="165">
        <f t="shared" si="19"/>
        <v>55335.91596943015</v>
      </c>
      <c r="D646" s="145"/>
    </row>
    <row r="647" spans="1:4" ht="12.75">
      <c r="A647" s="163">
        <v>0.618</v>
      </c>
      <c r="B647" s="164">
        <f t="shared" si="18"/>
        <v>49.27801896285815</v>
      </c>
      <c r="C647" s="165">
        <f t="shared" si="19"/>
        <v>55337.17713907519</v>
      </c>
      <c r="D647" s="145"/>
    </row>
    <row r="648" spans="1:4" ht="12.75">
      <c r="A648" s="163">
        <v>0.619</v>
      </c>
      <c r="B648" s="164">
        <f t="shared" si="18"/>
        <v>49.28044809997098</v>
      </c>
      <c r="C648" s="165">
        <f t="shared" si="19"/>
        <v>55338.44005872121</v>
      </c>
      <c r="D648" s="145"/>
    </row>
    <row r="649" spans="1:4" ht="12.75">
      <c r="A649" s="163">
        <v>0.62</v>
      </c>
      <c r="B649" s="164">
        <f t="shared" si="18"/>
        <v>49.28287916846666</v>
      </c>
      <c r="C649" s="165">
        <f t="shared" si="19"/>
        <v>55339.70474039013</v>
      </c>
      <c r="D649" s="145"/>
    </row>
    <row r="650" spans="1:4" ht="12.75">
      <c r="A650" s="163">
        <v>0.621</v>
      </c>
      <c r="B650" s="164">
        <f t="shared" si="18"/>
        <v>49.285312188201196</v>
      </c>
      <c r="C650" s="165">
        <f t="shared" si="19"/>
        <v>55340.97119618186</v>
      </c>
      <c r="D650" s="145"/>
    </row>
    <row r="651" spans="1:4" ht="12.75">
      <c r="A651" s="163">
        <v>0.622</v>
      </c>
      <c r="B651" s="164">
        <f t="shared" si="18"/>
        <v>49.28774717913237</v>
      </c>
      <c r="C651" s="165">
        <f t="shared" si="19"/>
        <v>55342.239438275305</v>
      </c>
      <c r="D651" s="145"/>
    </row>
    <row r="652" spans="1:4" ht="12.75">
      <c r="A652" s="163">
        <v>0.623</v>
      </c>
      <c r="B652" s="164">
        <f t="shared" si="18"/>
        <v>49.290184161321044</v>
      </c>
      <c r="C652" s="165">
        <f t="shared" si="19"/>
        <v>55343.509478929205</v>
      </c>
      <c r="D652" s="145"/>
    </row>
    <row r="653" spans="1:4" ht="12.75">
      <c r="A653" s="163">
        <v>0.624</v>
      </c>
      <c r="B653" s="164">
        <f t="shared" si="18"/>
        <v>49.29262315493252</v>
      </c>
      <c r="C653" s="165">
        <f t="shared" si="19"/>
        <v>55344.78133048304</v>
      </c>
      <c r="D653" s="145"/>
    </row>
    <row r="654" spans="1:4" ht="12.75">
      <c r="A654" s="163">
        <v>0.625</v>
      </c>
      <c r="B654" s="164">
        <f t="shared" si="18"/>
        <v>49.29506418023794</v>
      </c>
      <c r="C654" s="165">
        <f t="shared" si="19"/>
        <v>55346.05500535799</v>
      </c>
      <c r="D654" s="145"/>
    </row>
    <row r="655" spans="1:4" ht="12.75">
      <c r="A655" s="163">
        <v>0.626</v>
      </c>
      <c r="B655" s="164">
        <f t="shared" si="18"/>
        <v>49.29750725761559</v>
      </c>
      <c r="C655" s="165">
        <f t="shared" si="19"/>
        <v>55347.33051605781</v>
      </c>
      <c r="D655" s="145"/>
    </row>
    <row r="656" spans="1:4" ht="12.75">
      <c r="A656" s="163">
        <v>0.627</v>
      </c>
      <c r="B656" s="164">
        <f t="shared" si="18"/>
        <v>49.29995240755241</v>
      </c>
      <c r="C656" s="165">
        <f t="shared" si="19"/>
        <v>55348.60787516989</v>
      </c>
      <c r="D656" s="145"/>
    </row>
    <row r="657" spans="1:4" ht="12.75">
      <c r="A657" s="163">
        <v>0.628</v>
      </c>
      <c r="B657" s="164">
        <f t="shared" si="18"/>
        <v>49.30239965064531</v>
      </c>
      <c r="C657" s="165">
        <f t="shared" si="19"/>
        <v>55349.887095366095</v>
      </c>
      <c r="D657" s="145"/>
    </row>
    <row r="658" spans="1:4" ht="12.75">
      <c r="A658" s="163">
        <v>0.629</v>
      </c>
      <c r="B658" s="164">
        <f t="shared" si="18"/>
        <v>49.30484900760267</v>
      </c>
      <c r="C658" s="165">
        <f t="shared" si="19"/>
        <v>55351.168189403834</v>
      </c>
      <c r="D658" s="145"/>
    </row>
    <row r="659" spans="1:4" ht="12.75">
      <c r="A659" s="163">
        <v>0.63</v>
      </c>
      <c r="B659" s="164">
        <f t="shared" si="18"/>
        <v>49.307300499245734</v>
      </c>
      <c r="C659" s="165">
        <f t="shared" si="19"/>
        <v>55352.45117012688</v>
      </c>
      <c r="D659" s="145"/>
    </row>
    <row r="660" spans="1:4" ht="12.75">
      <c r="A660" s="163">
        <v>0.631</v>
      </c>
      <c r="B660" s="164">
        <f t="shared" si="18"/>
        <v>49.30975414651013</v>
      </c>
      <c r="C660" s="165">
        <f t="shared" si="19"/>
        <v>55353.736050466614</v>
      </c>
      <c r="D660" s="145"/>
    </row>
    <row r="661" spans="1:4" ht="12.75">
      <c r="A661" s="163">
        <v>0.632</v>
      </c>
      <c r="B661" s="164">
        <f t="shared" si="18"/>
        <v>49.31220997044732</v>
      </c>
      <c r="C661" s="165">
        <f t="shared" si="19"/>
        <v>55355.02284344285</v>
      </c>
      <c r="D661" s="145"/>
    </row>
    <row r="662" spans="1:4" ht="12.75">
      <c r="A662" s="163">
        <v>0.633</v>
      </c>
      <c r="B662" s="164">
        <f t="shared" si="18"/>
        <v>49.3146679922261</v>
      </c>
      <c r="C662" s="165">
        <f t="shared" si="19"/>
        <v>55356.31156216487</v>
      </c>
      <c r="D662" s="145"/>
    </row>
    <row r="663" spans="1:4" ht="12.75">
      <c r="A663" s="163">
        <v>0.634</v>
      </c>
      <c r="B663" s="164">
        <f t="shared" si="18"/>
        <v>49.31712823313413</v>
      </c>
      <c r="C663" s="165">
        <f t="shared" si="19"/>
        <v>55357.60221983259</v>
      </c>
      <c r="D663" s="145"/>
    </row>
    <row r="664" spans="1:4" ht="12.75">
      <c r="A664" s="163">
        <v>0.635</v>
      </c>
      <c r="B664" s="164">
        <f t="shared" si="18"/>
        <v>49.319590714579455</v>
      </c>
      <c r="C664" s="165">
        <f t="shared" si="19"/>
        <v>55358.89482973739</v>
      </c>
      <c r="D664" s="145"/>
    </row>
    <row r="665" spans="1:4" ht="12.75">
      <c r="A665" s="163">
        <v>0.636</v>
      </c>
      <c r="B665" s="164">
        <f t="shared" si="18"/>
        <v>49.32205545809208</v>
      </c>
      <c r="C665" s="165">
        <f t="shared" si="19"/>
        <v>55360.1894052634</v>
      </c>
      <c r="D665" s="145"/>
    </row>
    <row r="666" spans="1:4" ht="12.75">
      <c r="A666" s="163">
        <v>0.637</v>
      </c>
      <c r="B666" s="164">
        <f t="shared" si="18"/>
        <v>49.32452248532554</v>
      </c>
      <c r="C666" s="165">
        <f t="shared" si="19"/>
        <v>55361.48595988847</v>
      </c>
      <c r="D666" s="145"/>
    </row>
    <row r="667" spans="1:4" ht="12.75">
      <c r="A667" s="163">
        <v>0.638</v>
      </c>
      <c r="B667" s="164">
        <f t="shared" si="18"/>
        <v>49.32699181805845</v>
      </c>
      <c r="C667" s="165">
        <f t="shared" si="19"/>
        <v>55362.78450718521</v>
      </c>
      <c r="D667" s="145"/>
    </row>
    <row r="668" spans="1:4" ht="12.75">
      <c r="A668" s="163">
        <v>0.639</v>
      </c>
      <c r="B668" s="164">
        <f t="shared" si="18"/>
        <v>49.32946347819618</v>
      </c>
      <c r="C668" s="165">
        <f t="shared" si="19"/>
        <v>55364.085060822195</v>
      </c>
      <c r="D668" s="145"/>
    </row>
    <row r="669" spans="1:4" ht="12.75">
      <c r="A669" s="163">
        <v>0.64</v>
      </c>
      <c r="B669" s="164">
        <f t="shared" si="18"/>
        <v>49.33193748777244</v>
      </c>
      <c r="C669" s="165">
        <f t="shared" si="19"/>
        <v>55365.38763456503</v>
      </c>
      <c r="D669" s="145"/>
    </row>
    <row r="670" spans="1:4" ht="12.75">
      <c r="A670" s="163">
        <v>0.641</v>
      </c>
      <c r="B670" s="164">
        <f aca="true" t="shared" si="20" ref="B670:B733">$C$6+NORMSINV($A670)*$C$11*$C$6</f>
        <v>49.33441386895095</v>
      </c>
      <c r="C670" s="165">
        <f aca="true" t="shared" si="21" ref="C670:C733">EPortfolio($C$5+1/252,$B670,$C$7,$C$8,$C$9,,$C$10,$H$7:$L$10,0)</f>
        <v>55366.69224227748</v>
      </c>
      <c r="D670" s="145"/>
    </row>
    <row r="671" spans="1:4" ht="12.75">
      <c r="A671" s="163">
        <v>0.642</v>
      </c>
      <c r="B671" s="164">
        <f t="shared" si="20"/>
        <v>49.33689264402712</v>
      </c>
      <c r="C671" s="165">
        <f t="shared" si="21"/>
        <v>55367.99889792265</v>
      </c>
      <c r="D671" s="145"/>
    </row>
    <row r="672" spans="1:4" ht="12.75">
      <c r="A672" s="163">
        <v>0.643</v>
      </c>
      <c r="B672" s="164">
        <f t="shared" si="20"/>
        <v>49.33937383542969</v>
      </c>
      <c r="C672" s="165">
        <f t="shared" si="21"/>
        <v>55369.3076155641</v>
      </c>
      <c r="D672" s="145"/>
    </row>
    <row r="673" spans="1:4" ht="12.75">
      <c r="A673" s="163">
        <v>0.644</v>
      </c>
      <c r="B673" s="164">
        <f t="shared" si="20"/>
        <v>49.34185746572252</v>
      </c>
      <c r="C673" s="165">
        <f t="shared" si="21"/>
        <v>55370.618409367074</v>
      </c>
      <c r="D673" s="145"/>
    </row>
    <row r="674" spans="1:4" ht="12.75">
      <c r="A674" s="163">
        <v>0.645</v>
      </c>
      <c r="B674" s="164">
        <f t="shared" si="20"/>
        <v>49.34434355760627</v>
      </c>
      <c r="C674" s="165">
        <f t="shared" si="21"/>
        <v>55371.9312935997</v>
      </c>
      <c r="D674" s="145"/>
    </row>
    <row r="675" spans="1:4" ht="12.75">
      <c r="A675" s="163">
        <v>0.646</v>
      </c>
      <c r="B675" s="164">
        <f t="shared" si="20"/>
        <v>49.346832133920174</v>
      </c>
      <c r="C675" s="165">
        <f t="shared" si="21"/>
        <v>55373.2462826341</v>
      </c>
      <c r="D675" s="145"/>
    </row>
    <row r="676" spans="1:4" ht="12.75">
      <c r="A676" s="163">
        <v>0.647</v>
      </c>
      <c r="B676" s="164">
        <f t="shared" si="20"/>
        <v>49.34932321764382</v>
      </c>
      <c r="C676" s="165">
        <f t="shared" si="21"/>
        <v>55374.563390947755</v>
      </c>
      <c r="D676" s="145"/>
    </row>
    <row r="677" spans="1:4" ht="12.75">
      <c r="A677" s="163">
        <v>0.648</v>
      </c>
      <c r="B677" s="164">
        <f t="shared" si="20"/>
        <v>49.35181683189894</v>
      </c>
      <c r="C677" s="165">
        <f t="shared" si="21"/>
        <v>55375.88263312468</v>
      </c>
      <c r="D677" s="145"/>
    </row>
    <row r="678" spans="1:4" ht="12.75">
      <c r="A678" s="163">
        <v>0.649</v>
      </c>
      <c r="B678" s="164">
        <f t="shared" si="20"/>
        <v>49.35431299995123</v>
      </c>
      <c r="C678" s="165">
        <f t="shared" si="21"/>
        <v>55377.20402385665</v>
      </c>
      <c r="D678" s="145"/>
    </row>
    <row r="679" spans="1:4" ht="12.75">
      <c r="A679" s="163">
        <v>0.65</v>
      </c>
      <c r="B679" s="164">
        <f t="shared" si="20"/>
        <v>49.35681174521225</v>
      </c>
      <c r="C679" s="165">
        <f t="shared" si="21"/>
        <v>55378.527577944544</v>
      </c>
      <c r="D679" s="145"/>
    </row>
    <row r="680" spans="1:4" ht="12.75">
      <c r="A680" s="163">
        <v>0.651</v>
      </c>
      <c r="B680" s="164">
        <f t="shared" si="20"/>
        <v>49.35931309124119</v>
      </c>
      <c r="C680" s="165">
        <f t="shared" si="21"/>
        <v>55379.85331029962</v>
      </c>
      <c r="D680" s="145"/>
    </row>
    <row r="681" spans="1:4" ht="12.75">
      <c r="A681" s="163">
        <v>0.652</v>
      </c>
      <c r="B681" s="164">
        <f t="shared" si="20"/>
        <v>49.361817061746876</v>
      </c>
      <c r="C681" s="165">
        <f t="shared" si="21"/>
        <v>55381.181235944794</v>
      </c>
      <c r="D681" s="145"/>
    </row>
    <row r="682" spans="1:4" ht="12.75">
      <c r="A682" s="163">
        <v>0.653</v>
      </c>
      <c r="B682" s="164">
        <f t="shared" si="20"/>
        <v>49.36432368058962</v>
      </c>
      <c r="C682" s="165">
        <f t="shared" si="21"/>
        <v>55382.511370016015</v>
      </c>
      <c r="D682" s="145"/>
    </row>
    <row r="683" spans="1:4" ht="12.75">
      <c r="A683" s="163">
        <v>0.654</v>
      </c>
      <c r="B683" s="164">
        <f t="shared" si="20"/>
        <v>49.3668329717832</v>
      </c>
      <c r="C683" s="165">
        <f t="shared" si="21"/>
        <v>55383.84372776359</v>
      </c>
      <c r="D683" s="145"/>
    </row>
    <row r="684" spans="1:4" ht="12.75">
      <c r="A684" s="163">
        <v>0.655</v>
      </c>
      <c r="B684" s="164">
        <f t="shared" si="20"/>
        <v>49.369344959496786</v>
      </c>
      <c r="C684" s="165">
        <f t="shared" si="21"/>
        <v>55385.178324553555</v>
      </c>
      <c r="D684" s="145"/>
    </row>
    <row r="685" spans="1:4" ht="12.75">
      <c r="A685" s="163">
        <v>0.656</v>
      </c>
      <c r="B685" s="164">
        <f t="shared" si="20"/>
        <v>49.371859668057006</v>
      </c>
      <c r="C685" s="165">
        <f t="shared" si="21"/>
        <v>55386.51517586909</v>
      </c>
      <c r="D685" s="145"/>
    </row>
    <row r="686" spans="1:4" ht="12.75">
      <c r="A686" s="163">
        <v>0.657</v>
      </c>
      <c r="B686" s="164">
        <f t="shared" si="20"/>
        <v>49.37437712194989</v>
      </c>
      <c r="C686" s="165">
        <f t="shared" si="21"/>
        <v>55387.85429731187</v>
      </c>
      <c r="D686" s="145"/>
    </row>
    <row r="687" spans="1:4" ht="12.75">
      <c r="A687" s="163">
        <v>0.658</v>
      </c>
      <c r="B687" s="164">
        <f t="shared" si="20"/>
        <v>49.37689734582299</v>
      </c>
      <c r="C687" s="165">
        <f t="shared" si="21"/>
        <v>55389.195704603546</v>
      </c>
      <c r="D687" s="145"/>
    </row>
    <row r="688" spans="1:4" ht="12.75">
      <c r="A688" s="163">
        <v>0.659</v>
      </c>
      <c r="B688" s="164">
        <f t="shared" si="20"/>
        <v>49.3794203644874</v>
      </c>
      <c r="C688" s="165">
        <f t="shared" si="21"/>
        <v>55390.539413587125</v>
      </c>
      <c r="D688" s="145"/>
    </row>
    <row r="689" spans="1:4" ht="12.75">
      <c r="A689" s="163">
        <v>0.66</v>
      </c>
      <c r="B689" s="164">
        <f t="shared" si="20"/>
        <v>49.38194620291989</v>
      </c>
      <c r="C689" s="165">
        <f t="shared" si="21"/>
        <v>55391.885440228514</v>
      </c>
      <c r="D689" s="145"/>
    </row>
    <row r="690" spans="1:4" ht="12.75">
      <c r="A690" s="163">
        <v>0.661</v>
      </c>
      <c r="B690" s="164">
        <f t="shared" si="20"/>
        <v>49.384474886265046</v>
      </c>
      <c r="C690" s="165">
        <f t="shared" si="21"/>
        <v>55393.23380061797</v>
      </c>
      <c r="D690" s="145"/>
    </row>
    <row r="691" spans="1:4" ht="12.75">
      <c r="A691" s="163">
        <v>0.662</v>
      </c>
      <c r="B691" s="164">
        <f t="shared" si="20"/>
        <v>49.3870064398374</v>
      </c>
      <c r="C691" s="165">
        <f t="shared" si="21"/>
        <v>55394.58451097162</v>
      </c>
      <c r="D691" s="145"/>
    </row>
    <row r="692" spans="1:4" ht="12.75">
      <c r="A692" s="163">
        <v>0.663</v>
      </c>
      <c r="B692" s="164">
        <f t="shared" si="20"/>
        <v>49.38954088912365</v>
      </c>
      <c r="C692" s="165">
        <f t="shared" si="21"/>
        <v>55395.93758763292</v>
      </c>
      <c r="D692" s="145"/>
    </row>
    <row r="693" spans="1:4" ht="12.75">
      <c r="A693" s="163">
        <v>0.664</v>
      </c>
      <c r="B693" s="164">
        <f t="shared" si="20"/>
        <v>49.392078259784874</v>
      </c>
      <c r="C693" s="165">
        <f t="shared" si="21"/>
        <v>55397.29304707433</v>
      </c>
      <c r="D693" s="145"/>
    </row>
    <row r="694" spans="1:4" ht="12.75">
      <c r="A694" s="163">
        <v>0.665</v>
      </c>
      <c r="B694" s="164">
        <f t="shared" si="20"/>
        <v>49.39461857765877</v>
      </c>
      <c r="C694" s="165">
        <f t="shared" si="21"/>
        <v>55398.6509058988</v>
      </c>
      <c r="D694" s="145"/>
    </row>
    <row r="695" spans="1:4" ht="12.75">
      <c r="A695" s="163">
        <v>0.666</v>
      </c>
      <c r="B695" s="164">
        <f t="shared" si="20"/>
        <v>49.39716186876195</v>
      </c>
      <c r="C695" s="165">
        <f t="shared" si="21"/>
        <v>55400.0111808414</v>
      </c>
      <c r="D695" s="145"/>
    </row>
    <row r="696" spans="1:4" ht="12.75">
      <c r="A696" s="163">
        <v>0.667</v>
      </c>
      <c r="B696" s="164">
        <f t="shared" si="20"/>
        <v>49.39970815929225</v>
      </c>
      <c r="C696" s="165">
        <f t="shared" si="21"/>
        <v>55401.37388877092</v>
      </c>
      <c r="D696" s="145"/>
    </row>
    <row r="697" spans="1:4" ht="12.75">
      <c r="A697" s="163">
        <v>0.668</v>
      </c>
      <c r="B697" s="164">
        <f t="shared" si="20"/>
        <v>49.40225747563108</v>
      </c>
      <c r="C697" s="165">
        <f t="shared" si="21"/>
        <v>55402.73904669151</v>
      </c>
      <c r="D697" s="145"/>
    </row>
    <row r="698" spans="1:4" ht="12.75">
      <c r="A698" s="163">
        <v>0.669</v>
      </c>
      <c r="B698" s="164">
        <f t="shared" si="20"/>
        <v>49.404809844345785</v>
      </c>
      <c r="C698" s="165">
        <f t="shared" si="21"/>
        <v>55404.106671744405</v>
      </c>
      <c r="D698" s="145"/>
    </row>
    <row r="699" spans="1:4" ht="12.75">
      <c r="A699" s="163">
        <v>0.67</v>
      </c>
      <c r="B699" s="164">
        <f t="shared" si="20"/>
        <v>49.40736529219209</v>
      </c>
      <c r="C699" s="165">
        <f t="shared" si="21"/>
        <v>55405.476781209516</v>
      </c>
      <c r="D699" s="145"/>
    </row>
    <row r="700" spans="1:4" ht="12.75">
      <c r="A700" s="163">
        <v>0.671</v>
      </c>
      <c r="B700" s="164">
        <f t="shared" si="20"/>
        <v>49.4099238461165</v>
      </c>
      <c r="C700" s="165">
        <f t="shared" si="21"/>
        <v>55406.84939250726</v>
      </c>
      <c r="D700" s="145"/>
    </row>
    <row r="701" spans="1:4" ht="12.75">
      <c r="A701" s="163">
        <v>0.672</v>
      </c>
      <c r="B701" s="164">
        <f t="shared" si="20"/>
        <v>49.412485533258824</v>
      </c>
      <c r="C701" s="165">
        <f t="shared" si="21"/>
        <v>55408.22452320017</v>
      </c>
      <c r="D701" s="145"/>
    </row>
    <row r="702" spans="1:4" ht="12.75">
      <c r="A702" s="163">
        <v>0.673</v>
      </c>
      <c r="B702" s="164">
        <f t="shared" si="20"/>
        <v>49.415050380954675</v>
      </c>
      <c r="C702" s="165">
        <f t="shared" si="21"/>
        <v>55409.60219099481</v>
      </c>
      <c r="D702" s="145"/>
    </row>
    <row r="703" spans="1:4" ht="12.75">
      <c r="A703" s="163">
        <v>0.674</v>
      </c>
      <c r="B703" s="164">
        <f t="shared" si="20"/>
        <v>49.41761841673801</v>
      </c>
      <c r="C703" s="165">
        <f t="shared" si="21"/>
        <v>55410.98241374345</v>
      </c>
      <c r="D703" s="145"/>
    </row>
    <row r="704" spans="1:4" ht="12.75">
      <c r="A704" s="163">
        <v>0.675</v>
      </c>
      <c r="B704" s="164">
        <f t="shared" si="20"/>
        <v>49.420189668343724</v>
      </c>
      <c r="C704" s="165">
        <f t="shared" si="21"/>
        <v>55412.365209445954</v>
      </c>
      <c r="D704" s="145"/>
    </row>
    <row r="705" spans="1:4" ht="12.75">
      <c r="A705" s="163">
        <v>0.676</v>
      </c>
      <c r="B705" s="164">
        <f t="shared" si="20"/>
        <v>49.42276416371028</v>
      </c>
      <c r="C705" s="165">
        <f t="shared" si="21"/>
        <v>55413.750596251564</v>
      </c>
      <c r="D705" s="145"/>
    </row>
    <row r="706" spans="1:4" ht="12.75">
      <c r="A706" s="163">
        <v>0.677</v>
      </c>
      <c r="B706" s="164">
        <f t="shared" si="20"/>
        <v>49.42534193098238</v>
      </c>
      <c r="C706" s="165">
        <f t="shared" si="21"/>
        <v>55415.13859246083</v>
      </c>
      <c r="D706" s="145"/>
    </row>
    <row r="707" spans="1:4" ht="12.75">
      <c r="A707" s="163">
        <v>0.678</v>
      </c>
      <c r="B707" s="164">
        <f t="shared" si="20"/>
        <v>49.42792299851363</v>
      </c>
      <c r="C707" s="165">
        <f t="shared" si="21"/>
        <v>55416.529216527546</v>
      </c>
      <c r="D707" s="145"/>
    </row>
    <row r="708" spans="1:4" ht="12.75">
      <c r="A708" s="163">
        <v>0.679</v>
      </c>
      <c r="B708" s="164">
        <f t="shared" si="20"/>
        <v>49.43050739486932</v>
      </c>
      <c r="C708" s="165">
        <f t="shared" si="21"/>
        <v>55417.92248706056</v>
      </c>
      <c r="D708" s="145"/>
    </row>
    <row r="709" spans="1:4" ht="12.75">
      <c r="A709" s="163">
        <v>0.68</v>
      </c>
      <c r="B709" s="164">
        <f t="shared" si="20"/>
        <v>49.43309514882919</v>
      </c>
      <c r="C709" s="165">
        <f t="shared" si="21"/>
        <v>55419.3184228258</v>
      </c>
      <c r="D709" s="145"/>
    </row>
    <row r="710" spans="1:4" ht="12.75">
      <c r="A710" s="163">
        <v>0.681</v>
      </c>
      <c r="B710" s="164">
        <f t="shared" si="20"/>
        <v>49.43568628939025</v>
      </c>
      <c r="C710" s="165">
        <f t="shared" si="21"/>
        <v>55420.717042748365</v>
      </c>
      <c r="D710" s="145"/>
    </row>
    <row r="711" spans="1:4" ht="12.75">
      <c r="A711" s="163">
        <v>0.682</v>
      </c>
      <c r="B711" s="164">
        <f t="shared" si="20"/>
        <v>49.43828084576962</v>
      </c>
      <c r="C711" s="165">
        <f t="shared" si="21"/>
        <v>55422.11836591431</v>
      </c>
      <c r="D711" s="145"/>
    </row>
    <row r="712" spans="1:4" ht="12.75">
      <c r="A712" s="163">
        <v>0.683</v>
      </c>
      <c r="B712" s="164">
        <f t="shared" si="20"/>
        <v>49.44087884740749</v>
      </c>
      <c r="C712" s="165">
        <f t="shared" si="21"/>
        <v>55423.52241157297</v>
      </c>
      <c r="D712" s="145"/>
    </row>
    <row r="713" spans="1:4" ht="12.75">
      <c r="A713" s="163">
        <v>0.684</v>
      </c>
      <c r="B713" s="164">
        <f t="shared" si="20"/>
        <v>49.44348032397002</v>
      </c>
      <c r="C713" s="165">
        <f t="shared" si="21"/>
        <v>55424.92919913884</v>
      </c>
      <c r="D713" s="145"/>
    </row>
    <row r="714" spans="1:4" ht="12.75">
      <c r="A714" s="163">
        <v>0.685</v>
      </c>
      <c r="B714" s="164">
        <f t="shared" si="20"/>
        <v>49.446085305352334</v>
      </c>
      <c r="C714" s="165">
        <f t="shared" si="21"/>
        <v>55426.33874819376</v>
      </c>
      <c r="D714" s="145"/>
    </row>
    <row r="715" spans="1:4" ht="12.75">
      <c r="A715" s="163">
        <v>0.686</v>
      </c>
      <c r="B715" s="164">
        <f t="shared" si="20"/>
        <v>49.44869382168159</v>
      </c>
      <c r="C715" s="165">
        <f t="shared" si="21"/>
        <v>55427.7510784891</v>
      </c>
      <c r="D715" s="145"/>
    </row>
    <row r="716" spans="1:4" ht="12.75">
      <c r="A716" s="163">
        <v>0.687</v>
      </c>
      <c r="B716" s="164">
        <f t="shared" si="20"/>
        <v>49.45130590332002</v>
      </c>
      <c r="C716" s="165">
        <f t="shared" si="21"/>
        <v>55429.16620994784</v>
      </c>
      <c r="D716" s="145"/>
    </row>
    <row r="717" spans="1:4" ht="12.75">
      <c r="A717" s="163">
        <v>0.6880000000000001</v>
      </c>
      <c r="B717" s="164">
        <f t="shared" si="20"/>
        <v>49.45392158086809</v>
      </c>
      <c r="C717" s="165">
        <f t="shared" si="21"/>
        <v>55430.58416266691</v>
      </c>
      <c r="D717" s="145"/>
    </row>
    <row r="718" spans="1:4" ht="12.75">
      <c r="A718" s="163">
        <v>0.6890000000000001</v>
      </c>
      <c r="B718" s="164">
        <f t="shared" si="20"/>
        <v>49.45654088516766</v>
      </c>
      <c r="C718" s="165">
        <f t="shared" si="21"/>
        <v>55432.00495691938</v>
      </c>
      <c r="D718" s="145"/>
    </row>
    <row r="719" spans="1:4" ht="12.75">
      <c r="A719" s="163">
        <v>0.69</v>
      </c>
      <c r="B719" s="164">
        <f t="shared" si="20"/>
        <v>49.45916384730523</v>
      </c>
      <c r="C719" s="165">
        <f t="shared" si="21"/>
        <v>55433.42861315671</v>
      </c>
      <c r="D719" s="145"/>
    </row>
    <row r="720" spans="1:4" ht="12.75">
      <c r="A720" s="163">
        <v>0.6910000000000001</v>
      </c>
      <c r="B720" s="164">
        <f t="shared" si="20"/>
        <v>49.46179049861515</v>
      </c>
      <c r="C720" s="165">
        <f t="shared" si="21"/>
        <v>55434.85515201106</v>
      </c>
      <c r="D720" s="145"/>
    </row>
    <row r="721" spans="1:4" ht="12.75">
      <c r="A721" s="163">
        <v>0.6920000000000001</v>
      </c>
      <c r="B721" s="164">
        <f t="shared" si="20"/>
        <v>49.46442087068303</v>
      </c>
      <c r="C721" s="165">
        <f t="shared" si="21"/>
        <v>55436.2845942978</v>
      </c>
      <c r="D721" s="145"/>
    </row>
    <row r="722" spans="1:4" ht="12.75">
      <c r="A722" s="163">
        <v>0.6930000000000001</v>
      </c>
      <c r="B722" s="164">
        <f t="shared" si="20"/>
        <v>49.46705499534906</v>
      </c>
      <c r="C722" s="165">
        <f t="shared" si="21"/>
        <v>55437.716961017715</v>
      </c>
      <c r="D722" s="145"/>
    </row>
    <row r="723" spans="1:4" ht="12.75">
      <c r="A723" s="163">
        <v>0.6940000000000001</v>
      </c>
      <c r="B723" s="164">
        <f t="shared" si="20"/>
        <v>49.46969290471144</v>
      </c>
      <c r="C723" s="165">
        <f t="shared" si="21"/>
        <v>55439.152273359534</v>
      </c>
      <c r="D723" s="145"/>
    </row>
    <row r="724" spans="1:4" ht="12.75">
      <c r="A724" s="163">
        <v>0.695</v>
      </c>
      <c r="B724" s="164">
        <f t="shared" si="20"/>
        <v>49.47233463112987</v>
      </c>
      <c r="C724" s="165">
        <f t="shared" si="21"/>
        <v>55440.59055270239</v>
      </c>
      <c r="D724" s="145"/>
    </row>
    <row r="725" spans="1:4" ht="12.75">
      <c r="A725" s="163">
        <v>0.6960000000000001</v>
      </c>
      <c r="B725" s="164">
        <f t="shared" si="20"/>
        <v>49.47498020722909</v>
      </c>
      <c r="C725" s="165">
        <f t="shared" si="21"/>
        <v>55442.031820618344</v>
      </c>
      <c r="D725" s="145"/>
    </row>
    <row r="726" spans="1:4" ht="12.75">
      <c r="A726" s="163">
        <v>0.6970000000000001</v>
      </c>
      <c r="B726" s="164">
        <f t="shared" si="20"/>
        <v>49.47762966590244</v>
      </c>
      <c r="C726" s="165">
        <f t="shared" si="21"/>
        <v>55443.47609887486</v>
      </c>
      <c r="D726" s="145"/>
    </row>
    <row r="727" spans="1:4" ht="12.75">
      <c r="A727" s="163">
        <v>0.6980000000000001</v>
      </c>
      <c r="B727" s="164">
        <f t="shared" si="20"/>
        <v>49.48028304031555</v>
      </c>
      <c r="C727" s="165">
        <f t="shared" si="21"/>
        <v>55444.92340943749</v>
      </c>
      <c r="D727" s="145"/>
    </row>
    <row r="728" spans="1:4" ht="12.75">
      <c r="A728" s="163">
        <v>0.6990000000000001</v>
      </c>
      <c r="B728" s="164">
        <f t="shared" si="20"/>
        <v>49.48294036391</v>
      </c>
      <c r="C728" s="165">
        <f t="shared" si="21"/>
        <v>55446.37377447249</v>
      </c>
      <c r="D728" s="145"/>
    </row>
    <row r="729" spans="1:4" ht="12.75">
      <c r="A729" s="163">
        <v>0.7</v>
      </c>
      <c r="B729" s="164">
        <f t="shared" si="20"/>
        <v>49.485601670407085</v>
      </c>
      <c r="C729" s="165">
        <f t="shared" si="21"/>
        <v>55447.82721634942</v>
      </c>
      <c r="D729" s="145"/>
    </row>
    <row r="730" spans="1:4" ht="12.75">
      <c r="A730" s="163">
        <v>0.7010000000000001</v>
      </c>
      <c r="B730" s="164">
        <f t="shared" si="20"/>
        <v>49.48826699381167</v>
      </c>
      <c r="C730" s="165">
        <f t="shared" si="21"/>
        <v>55449.283757644</v>
      </c>
      <c r="D730" s="145"/>
    </row>
    <row r="731" spans="1:4" ht="12.75">
      <c r="A731" s="163">
        <v>0.7020000000000001</v>
      </c>
      <c r="B731" s="164">
        <f t="shared" si="20"/>
        <v>49.49093636841604</v>
      </c>
      <c r="C731" s="165">
        <f t="shared" si="21"/>
        <v>55450.74342114071</v>
      </c>
      <c r="D731" s="145"/>
    </row>
    <row r="732" spans="1:4" ht="12.75">
      <c r="A732" s="163">
        <v>0.7030000000000001</v>
      </c>
      <c r="B732" s="164">
        <f t="shared" si="20"/>
        <v>49.49360982880384</v>
      </c>
      <c r="C732" s="165">
        <f t="shared" si="21"/>
        <v>55452.20622983576</v>
      </c>
      <c r="D732" s="145"/>
    </row>
    <row r="733" spans="1:4" ht="12.75">
      <c r="A733" s="163">
        <v>0.7040000000000001</v>
      </c>
      <c r="B733" s="164">
        <f t="shared" si="20"/>
        <v>49.496287409854105</v>
      </c>
      <c r="C733" s="165">
        <f t="shared" si="21"/>
        <v>55453.672206939824</v>
      </c>
      <c r="D733" s="145"/>
    </row>
    <row r="734" spans="1:4" ht="12.75">
      <c r="A734" s="163">
        <v>0.705</v>
      </c>
      <c r="B734" s="164">
        <f aca="true" t="shared" si="22" ref="B734:B797">$C$6+NORMSINV($A734)*$C$11*$C$6</f>
        <v>49.49896914674532</v>
      </c>
      <c r="C734" s="165">
        <f aca="true" t="shared" si="23" ref="C734:C797">EPortfolio($C$5+1/252,$B734,$C$7,$C$8,$C$9,,$C$10,$H$7:$L$10,0)</f>
        <v>55455.141375881</v>
      </c>
      <c r="D734" s="145"/>
    </row>
    <row r="735" spans="1:4" ht="12.75">
      <c r="A735" s="163">
        <v>0.706</v>
      </c>
      <c r="B735" s="164">
        <f t="shared" si="22"/>
        <v>49.50165507495954</v>
      </c>
      <c r="C735" s="165">
        <f t="shared" si="23"/>
        <v>55456.61376030779</v>
      </c>
      <c r="D735" s="145"/>
    </row>
    <row r="736" spans="1:4" ht="12.75">
      <c r="A736" s="163">
        <v>0.707</v>
      </c>
      <c r="B736" s="164">
        <f t="shared" si="22"/>
        <v>49.50434523028662</v>
      </c>
      <c r="C736" s="165">
        <f t="shared" si="23"/>
        <v>55458.089384092025</v>
      </c>
      <c r="D736" s="145"/>
    </row>
    <row r="737" spans="1:4" ht="12.75">
      <c r="A737" s="163">
        <v>0.708</v>
      </c>
      <c r="B737" s="164">
        <f t="shared" si="22"/>
        <v>49.50703964882848</v>
      </c>
      <c r="C737" s="165">
        <f t="shared" si="23"/>
        <v>55459.568271331955</v>
      </c>
      <c r="D737" s="145"/>
    </row>
    <row r="738" spans="1:4" ht="12.75">
      <c r="A738" s="163">
        <v>0.709</v>
      </c>
      <c r="B738" s="164">
        <f t="shared" si="22"/>
        <v>49.50973836700344</v>
      </c>
      <c r="C738" s="165">
        <f t="shared" si="23"/>
        <v>55461.050446355366</v>
      </c>
      <c r="D738" s="145"/>
    </row>
    <row r="739" spans="1:4" ht="12.75">
      <c r="A739" s="163">
        <v>0.71</v>
      </c>
      <c r="B739" s="164">
        <f t="shared" si="22"/>
        <v>49.51244142155063</v>
      </c>
      <c r="C739" s="165">
        <f t="shared" si="23"/>
        <v>55462.53593372273</v>
      </c>
      <c r="D739" s="145"/>
    </row>
    <row r="740" spans="1:4" ht="12.75">
      <c r="A740" s="163">
        <v>0.711</v>
      </c>
      <c r="B740" s="164">
        <f t="shared" si="22"/>
        <v>49.51514884953451</v>
      </c>
      <c r="C740" s="165">
        <f t="shared" si="23"/>
        <v>55464.02475823037</v>
      </c>
      <c r="D740" s="145"/>
    </row>
    <row r="741" spans="1:4" ht="12.75">
      <c r="A741" s="163">
        <v>0.712</v>
      </c>
      <c r="B741" s="164">
        <f t="shared" si="22"/>
        <v>49.51786068834937</v>
      </c>
      <c r="C741" s="165">
        <f t="shared" si="23"/>
        <v>55465.516944913754</v>
      </c>
      <c r="D741" s="145"/>
    </row>
    <row r="742" spans="1:4" ht="12.75">
      <c r="A742" s="163">
        <v>0.713</v>
      </c>
      <c r="B742" s="164">
        <f t="shared" si="22"/>
        <v>49.52057697572404</v>
      </c>
      <c r="C742" s="165">
        <f t="shared" si="23"/>
        <v>55467.012519050826</v>
      </c>
      <c r="D742" s="145"/>
    </row>
    <row r="743" spans="1:4" ht="12.75">
      <c r="A743" s="163">
        <v>0.714</v>
      </c>
      <c r="B743" s="164">
        <f t="shared" si="22"/>
        <v>49.52329774972654</v>
      </c>
      <c r="C743" s="165">
        <f t="shared" si="23"/>
        <v>55468.51150616537</v>
      </c>
      <c r="D743" s="145"/>
    </row>
    <row r="744" spans="1:4" ht="12.75">
      <c r="A744" s="163">
        <v>0.715</v>
      </c>
      <c r="B744" s="164">
        <f t="shared" si="22"/>
        <v>49.5260230487689</v>
      </c>
      <c r="C744" s="165">
        <f t="shared" si="23"/>
        <v>55470.01393203039</v>
      </c>
      <c r="D744" s="145"/>
    </row>
    <row r="745" spans="1:4" ht="12.75">
      <c r="A745" s="163">
        <v>0.716</v>
      </c>
      <c r="B745" s="164">
        <f t="shared" si="22"/>
        <v>49.52875291161206</v>
      </c>
      <c r="C745" s="165">
        <f t="shared" si="23"/>
        <v>55471.51982267172</v>
      </c>
      <c r="D745" s="145"/>
    </row>
    <row r="746" spans="1:4" ht="12.75">
      <c r="A746" s="163">
        <v>0.717</v>
      </c>
      <c r="B746" s="164">
        <f t="shared" si="22"/>
        <v>49.53148737737077</v>
      </c>
      <c r="C746" s="165">
        <f t="shared" si="23"/>
        <v>55473.0292043714</v>
      </c>
      <c r="D746" s="145"/>
    </row>
    <row r="747" spans="1:4" ht="12.75">
      <c r="A747" s="163">
        <v>0.718</v>
      </c>
      <c r="B747" s="164">
        <f t="shared" si="22"/>
        <v>49.534226485518694</v>
      </c>
      <c r="C747" s="165">
        <f t="shared" si="23"/>
        <v>55474.54210367149</v>
      </c>
      <c r="D747" s="145"/>
    </row>
    <row r="748" spans="1:4" ht="12.75">
      <c r="A748" s="163">
        <v>0.719</v>
      </c>
      <c r="B748" s="164">
        <f t="shared" si="22"/>
        <v>49.536970275893474</v>
      </c>
      <c r="C748" s="165">
        <f t="shared" si="23"/>
        <v>55476.05854737756</v>
      </c>
      <c r="D748" s="145"/>
    </row>
    <row r="749" spans="1:4" ht="12.75">
      <c r="A749" s="163">
        <v>0.72</v>
      </c>
      <c r="B749" s="164">
        <f t="shared" si="22"/>
        <v>49.53971878870199</v>
      </c>
      <c r="C749" s="165">
        <f t="shared" si="23"/>
        <v>55477.57856256256</v>
      </c>
      <c r="D749" s="145"/>
    </row>
    <row r="750" spans="1:4" ht="12.75">
      <c r="A750" s="163">
        <v>0.721</v>
      </c>
      <c r="B750" s="164">
        <f t="shared" si="22"/>
        <v>49.54247206452563</v>
      </c>
      <c r="C750" s="165">
        <f t="shared" si="23"/>
        <v>55479.10217657054</v>
      </c>
      <c r="D750" s="145"/>
    </row>
    <row r="751" spans="1:4" ht="12.75">
      <c r="A751" s="163">
        <v>0.722</v>
      </c>
      <c r="B751" s="164">
        <f t="shared" si="22"/>
        <v>49.545230144325735</v>
      </c>
      <c r="C751" s="165">
        <f t="shared" si="23"/>
        <v>55480.62941702059</v>
      </c>
      <c r="D751" s="145"/>
    </row>
    <row r="752" spans="1:4" ht="12.75">
      <c r="A752" s="163">
        <v>0.723</v>
      </c>
      <c r="B752" s="164">
        <f t="shared" si="22"/>
        <v>49.547993069449014</v>
      </c>
      <c r="C752" s="165">
        <f t="shared" si="23"/>
        <v>55482.16031181072</v>
      </c>
      <c r="D752" s="145"/>
    </row>
    <row r="753" spans="1:4" ht="12.75">
      <c r="A753" s="163">
        <v>0.724</v>
      </c>
      <c r="B753" s="164">
        <f t="shared" si="22"/>
        <v>49.550760881633195</v>
      </c>
      <c r="C753" s="165">
        <f t="shared" si="23"/>
        <v>55483.6948891219</v>
      </c>
      <c r="D753" s="145"/>
    </row>
    <row r="754" spans="1:4" ht="12.75">
      <c r="A754" s="163">
        <v>0.725</v>
      </c>
      <c r="B754" s="164">
        <f t="shared" si="22"/>
        <v>49.553533623012655</v>
      </c>
      <c r="C754" s="165">
        <f t="shared" si="23"/>
        <v>55485.23317742213</v>
      </c>
      <c r="D754" s="145"/>
    </row>
    <row r="755" spans="1:4" ht="12.75">
      <c r="A755" s="163">
        <v>0.726</v>
      </c>
      <c r="B755" s="164">
        <f t="shared" si="22"/>
        <v>49.55631133612425</v>
      </c>
      <c r="C755" s="165">
        <f t="shared" si="23"/>
        <v>55486.77520547062</v>
      </c>
      <c r="D755" s="145"/>
    </row>
    <row r="756" spans="1:4" ht="12.75">
      <c r="A756" s="163">
        <v>0.727</v>
      </c>
      <c r="B756" s="164">
        <f t="shared" si="22"/>
        <v>49.55909406391315</v>
      </c>
      <c r="C756" s="165">
        <f t="shared" si="23"/>
        <v>55488.32100232197</v>
      </c>
      <c r="D756" s="145"/>
    </row>
    <row r="757" spans="1:4" ht="12.75">
      <c r="A757" s="163">
        <v>0.728</v>
      </c>
      <c r="B757" s="164">
        <f t="shared" si="22"/>
        <v>49.561881849738846</v>
      </c>
      <c r="C757" s="165">
        <f t="shared" si="23"/>
        <v>55489.87059733052</v>
      </c>
      <c r="D757" s="145"/>
    </row>
    <row r="758" spans="1:4" ht="12.75">
      <c r="A758" s="163">
        <v>0.729</v>
      </c>
      <c r="B758" s="164">
        <f t="shared" si="22"/>
        <v>49.56467473738125</v>
      </c>
      <c r="C758" s="165">
        <f t="shared" si="23"/>
        <v>55491.42402015469</v>
      </c>
      <c r="D758" s="145"/>
    </row>
    <row r="759" spans="1:4" ht="12.75">
      <c r="A759" s="163">
        <v>0.73</v>
      </c>
      <c r="B759" s="164">
        <f t="shared" si="22"/>
        <v>49.56747277104688</v>
      </c>
      <c r="C759" s="165">
        <f t="shared" si="23"/>
        <v>55492.981300761465</v>
      </c>
      <c r="D759" s="145"/>
    </row>
    <row r="760" spans="1:4" ht="12.75">
      <c r="A760" s="163">
        <v>0.731</v>
      </c>
      <c r="B760" s="164">
        <f t="shared" si="22"/>
        <v>49.57027599537518</v>
      </c>
      <c r="C760" s="165">
        <f t="shared" si="23"/>
        <v>55494.54246943093</v>
      </c>
      <c r="D760" s="145"/>
    </row>
    <row r="761" spans="1:4" ht="12.75">
      <c r="A761" s="163">
        <v>0.732</v>
      </c>
      <c r="B761" s="164">
        <f t="shared" si="22"/>
        <v>49.57308445544492</v>
      </c>
      <c r="C761" s="165">
        <f t="shared" si="23"/>
        <v>55496.10755676094</v>
      </c>
      <c r="D761" s="145"/>
    </row>
    <row r="762" spans="1:4" ht="12.75">
      <c r="A762" s="163">
        <v>0.733</v>
      </c>
      <c r="B762" s="164">
        <f t="shared" si="22"/>
        <v>49.5758981967808</v>
      </c>
      <c r="C762" s="165">
        <f t="shared" si="23"/>
        <v>55497.67659367173</v>
      </c>
      <c r="D762" s="145"/>
    </row>
    <row r="763" spans="1:4" ht="12.75">
      <c r="A763" s="163">
        <v>0.734</v>
      </c>
      <c r="B763" s="164">
        <f t="shared" si="22"/>
        <v>49.57871726536002</v>
      </c>
      <c r="C763" s="165">
        <f t="shared" si="23"/>
        <v>55499.24961141078</v>
      </c>
      <c r="D763" s="145"/>
    </row>
    <row r="764" spans="1:4" ht="12.75">
      <c r="A764" s="163">
        <v>0.735</v>
      </c>
      <c r="B764" s="164">
        <f t="shared" si="22"/>
        <v>49.581541707619124</v>
      </c>
      <c r="C764" s="165">
        <f t="shared" si="23"/>
        <v>55500.826641557716</v>
      </c>
      <c r="D764" s="145"/>
    </row>
    <row r="765" spans="1:4" ht="12.75">
      <c r="A765" s="163">
        <v>0.736</v>
      </c>
      <c r="B765" s="164">
        <f t="shared" si="22"/>
        <v>49.58437157046089</v>
      </c>
      <c r="C765" s="165">
        <f t="shared" si="23"/>
        <v>55502.40771602924</v>
      </c>
      <c r="D765" s="145"/>
    </row>
    <row r="766" spans="1:4" ht="12.75">
      <c r="A766" s="163">
        <v>0.737</v>
      </c>
      <c r="B766" s="164">
        <f t="shared" si="22"/>
        <v>49.58720690126133</v>
      </c>
      <c r="C766" s="165">
        <f t="shared" si="23"/>
        <v>55503.992867084205</v>
      </c>
      <c r="D766" s="145"/>
    </row>
    <row r="767" spans="1:4" ht="12.75">
      <c r="A767" s="163">
        <v>0.738</v>
      </c>
      <c r="B767" s="164">
        <f t="shared" si="22"/>
        <v>49.59004774787688</v>
      </c>
      <c r="C767" s="165">
        <f t="shared" si="23"/>
        <v>55505.582127328795</v>
      </c>
      <c r="D767" s="145"/>
    </row>
    <row r="768" spans="1:4" ht="12.75">
      <c r="A768" s="163">
        <v>0.739</v>
      </c>
      <c r="B768" s="164">
        <f t="shared" si="22"/>
        <v>49.59289415865168</v>
      </c>
      <c r="C768" s="165">
        <f t="shared" si="23"/>
        <v>55507.17552972178</v>
      </c>
      <c r="D768" s="145"/>
    </row>
    <row r="769" spans="1:4" ht="12.75">
      <c r="A769" s="163">
        <v>0.74</v>
      </c>
      <c r="B769" s="164">
        <f t="shared" si="22"/>
        <v>49.59574618242499</v>
      </c>
      <c r="C769" s="165">
        <f t="shared" si="23"/>
        <v>55508.773107579866</v>
      </c>
      <c r="D769" s="145"/>
    </row>
    <row r="770" spans="1:4" ht="12.75">
      <c r="A770" s="163">
        <v>0.741</v>
      </c>
      <c r="B770" s="164">
        <f t="shared" si="22"/>
        <v>49.598603868538774</v>
      </c>
      <c r="C770" s="165">
        <f t="shared" si="23"/>
        <v>55510.374894583176</v>
      </c>
      <c r="D770" s="145"/>
    </row>
    <row r="771" spans="1:4" ht="12.75">
      <c r="A771" s="163">
        <v>0.742</v>
      </c>
      <c r="B771" s="164">
        <f t="shared" si="22"/>
        <v>49.601467266845376</v>
      </c>
      <c r="C771" s="165">
        <f t="shared" si="23"/>
        <v>55511.98092478074</v>
      </c>
      <c r="D771" s="145"/>
    </row>
    <row r="772" spans="1:4" ht="12.75">
      <c r="A772" s="163">
        <v>0.743</v>
      </c>
      <c r="B772" s="164">
        <f t="shared" si="22"/>
        <v>49.6043364277154</v>
      </c>
      <c r="C772" s="165">
        <f t="shared" si="23"/>
        <v>55513.59123259632</v>
      </c>
      <c r="D772" s="145"/>
    </row>
    <row r="773" spans="1:4" ht="12.75">
      <c r="A773" s="163">
        <v>0.744</v>
      </c>
      <c r="B773" s="164">
        <f t="shared" si="22"/>
        <v>49.60721140204568</v>
      </c>
      <c r="C773" s="165">
        <f t="shared" si="23"/>
        <v>55515.205852833984</v>
      </c>
      <c r="D773" s="145"/>
    </row>
    <row r="774" spans="1:4" ht="12.75">
      <c r="A774" s="163">
        <v>0.745</v>
      </c>
      <c r="B774" s="164">
        <f t="shared" si="22"/>
        <v>49.61009224126744</v>
      </c>
      <c r="C774" s="165">
        <f t="shared" si="23"/>
        <v>55516.82482068416</v>
      </c>
      <c r="D774" s="145"/>
    </row>
    <row r="775" spans="1:4" ht="12.75">
      <c r="A775" s="163">
        <v>0.746</v>
      </c>
      <c r="B775" s="164">
        <f t="shared" si="22"/>
        <v>49.6129789973546</v>
      </c>
      <c r="C775" s="165">
        <f t="shared" si="23"/>
        <v>55518.44817172957</v>
      </c>
      <c r="D775" s="145"/>
    </row>
    <row r="776" spans="1:4" ht="12.75">
      <c r="A776" s="163">
        <v>0.747</v>
      </c>
      <c r="B776" s="164">
        <f t="shared" si="22"/>
        <v>49.61587172283224</v>
      </c>
      <c r="C776" s="165">
        <f t="shared" si="23"/>
        <v>55520.07594195135</v>
      </c>
      <c r="D776" s="145"/>
    </row>
    <row r="777" spans="1:4" ht="12.75">
      <c r="A777" s="163">
        <v>0.748</v>
      </c>
      <c r="B777" s="164">
        <f t="shared" si="22"/>
        <v>49.61877047078521</v>
      </c>
      <c r="C777" s="165">
        <f t="shared" si="23"/>
        <v>55521.70816773529</v>
      </c>
      <c r="D777" s="145"/>
    </row>
    <row r="778" spans="1:4" ht="12.75">
      <c r="A778" s="163">
        <v>0.749</v>
      </c>
      <c r="B778" s="164">
        <f t="shared" si="22"/>
        <v>49.62167529486692</v>
      </c>
      <c r="C778" s="165">
        <f t="shared" si="23"/>
        <v>55523.34488587819</v>
      </c>
      <c r="D778" s="145"/>
    </row>
    <row r="779" spans="1:4" ht="12.75">
      <c r="A779" s="163">
        <v>0.75</v>
      </c>
      <c r="B779" s="164">
        <f t="shared" si="22"/>
        <v>49.62458624930832</v>
      </c>
      <c r="C779" s="165">
        <f t="shared" si="23"/>
        <v>55524.98613359438</v>
      </c>
      <c r="D779" s="145"/>
    </row>
    <row r="780" spans="1:4" ht="12.75">
      <c r="A780" s="163">
        <v>0.751</v>
      </c>
      <c r="B780" s="164">
        <f t="shared" si="22"/>
        <v>49.627503388927</v>
      </c>
      <c r="C780" s="165">
        <f t="shared" si="23"/>
        <v>55526.63194852229</v>
      </c>
      <c r="D780" s="145"/>
    </row>
    <row r="781" spans="1:4" ht="12.75">
      <c r="A781" s="163">
        <v>0.752</v>
      </c>
      <c r="B781" s="164">
        <f t="shared" si="22"/>
        <v>49.63042676913654</v>
      </c>
      <c r="C781" s="165">
        <f t="shared" si="23"/>
        <v>55528.28236873117</v>
      </c>
      <c r="D781" s="145"/>
    </row>
    <row r="782" spans="1:4" ht="12.75">
      <c r="A782" s="163">
        <v>0.753</v>
      </c>
      <c r="B782" s="164">
        <f t="shared" si="22"/>
        <v>49.633356445955954</v>
      </c>
      <c r="C782" s="165">
        <f t="shared" si="23"/>
        <v>55529.93743272807</v>
      </c>
      <c r="D782" s="145"/>
    </row>
    <row r="783" spans="1:4" ht="12.75">
      <c r="A783" s="163">
        <v>0.754</v>
      </c>
      <c r="B783" s="164">
        <f t="shared" si="22"/>
        <v>49.63629247601941</v>
      </c>
      <c r="C783" s="165">
        <f t="shared" si="23"/>
        <v>55531.59717946469</v>
      </c>
      <c r="D783" s="145"/>
    </row>
    <row r="784" spans="1:4" ht="12.75">
      <c r="A784" s="163">
        <v>0.755</v>
      </c>
      <c r="B784" s="164">
        <f t="shared" si="22"/>
        <v>49.6392349165861</v>
      </c>
      <c r="C784" s="165">
        <f t="shared" si="23"/>
        <v>55533.26164834474</v>
      </c>
      <c r="D784" s="145"/>
    </row>
    <row r="785" spans="1:4" ht="12.75">
      <c r="A785" s="163">
        <v>0.756</v>
      </c>
      <c r="B785" s="164">
        <f t="shared" si="22"/>
        <v>49.642183825550255</v>
      </c>
      <c r="C785" s="165">
        <f t="shared" si="23"/>
        <v>55534.930879231004</v>
      </c>
      <c r="D785" s="145"/>
    </row>
    <row r="786" spans="1:4" ht="12.75">
      <c r="A786" s="163">
        <v>0.757</v>
      </c>
      <c r="B786" s="164">
        <f t="shared" si="22"/>
        <v>49.645139261451476</v>
      </c>
      <c r="C786" s="165">
        <f t="shared" si="23"/>
        <v>55536.604912453025</v>
      </c>
      <c r="D786" s="145"/>
    </row>
    <row r="787" spans="1:4" ht="12.75">
      <c r="A787" s="163">
        <v>0.758</v>
      </c>
      <c r="B787" s="164">
        <f t="shared" si="22"/>
        <v>49.648101283485154</v>
      </c>
      <c r="C787" s="165">
        <f t="shared" si="23"/>
        <v>55538.283788814486</v>
      </c>
      <c r="D787" s="145"/>
    </row>
    <row r="788" spans="1:4" ht="12.75">
      <c r="A788" s="163">
        <v>0.759</v>
      </c>
      <c r="B788" s="164">
        <f t="shared" si="22"/>
        <v>49.651069951513186</v>
      </c>
      <c r="C788" s="165">
        <f t="shared" si="23"/>
        <v>55539.9675496011</v>
      </c>
      <c r="D788" s="145"/>
    </row>
    <row r="789" spans="1:4" ht="12.75">
      <c r="A789" s="163">
        <v>0.76</v>
      </c>
      <c r="B789" s="164">
        <f t="shared" si="22"/>
        <v>49.65404532607486</v>
      </c>
      <c r="C789" s="165">
        <f t="shared" si="23"/>
        <v>55541.656236588424</v>
      </c>
      <c r="D789" s="145"/>
    </row>
    <row r="790" spans="1:4" ht="12.75">
      <c r="A790" s="163">
        <v>0.761</v>
      </c>
      <c r="B790" s="164">
        <f t="shared" si="22"/>
        <v>49.657027468397935</v>
      </c>
      <c r="C790" s="165">
        <f t="shared" si="23"/>
        <v>55543.34989205007</v>
      </c>
      <c r="D790" s="145"/>
    </row>
    <row r="791" spans="1:4" ht="12.75">
      <c r="A791" s="163">
        <v>0.762</v>
      </c>
      <c r="B791" s="164">
        <f t="shared" si="22"/>
        <v>49.66001644041006</v>
      </c>
      <c r="C791" s="165">
        <f t="shared" si="23"/>
        <v>55545.04855876574</v>
      </c>
      <c r="D791" s="145"/>
    </row>
    <row r="792" spans="1:4" ht="12.75">
      <c r="A792" s="163">
        <v>0.763</v>
      </c>
      <c r="B792" s="164">
        <f t="shared" si="22"/>
        <v>49.663012304750275</v>
      </c>
      <c r="C792" s="165">
        <f t="shared" si="23"/>
        <v>55546.75228002982</v>
      </c>
      <c r="D792" s="145"/>
    </row>
    <row r="793" spans="1:4" ht="12.75">
      <c r="A793" s="163">
        <v>0.764</v>
      </c>
      <c r="B793" s="164">
        <f t="shared" si="22"/>
        <v>49.66601512478086</v>
      </c>
      <c r="C793" s="165">
        <f t="shared" si="23"/>
        <v>55548.46109965983</v>
      </c>
      <c r="D793" s="145"/>
    </row>
    <row r="794" spans="1:4" ht="12.75">
      <c r="A794" s="163">
        <v>0.765</v>
      </c>
      <c r="B794" s="164">
        <f t="shared" si="22"/>
        <v>49.66902496459938</v>
      </c>
      <c r="C794" s="165">
        <f t="shared" si="23"/>
        <v>55550.175062005255</v>
      </c>
      <c r="D794" s="145"/>
    </row>
    <row r="795" spans="1:4" ht="12.75">
      <c r="A795" s="163">
        <v>0.766</v>
      </c>
      <c r="B795" s="164">
        <f t="shared" si="22"/>
        <v>49.67204188905099</v>
      </c>
      <c r="C795" s="165">
        <f t="shared" si="23"/>
        <v>55551.8942119565</v>
      </c>
      <c r="D795" s="145"/>
    </row>
    <row r="796" spans="1:4" ht="12.75">
      <c r="A796" s="163">
        <v>0.767</v>
      </c>
      <c r="B796" s="164">
        <f t="shared" si="22"/>
        <v>49.675065963740984</v>
      </c>
      <c r="C796" s="165">
        <f t="shared" si="23"/>
        <v>55553.61859495394</v>
      </c>
      <c r="D796" s="145"/>
    </row>
    <row r="797" spans="1:4" ht="12.75">
      <c r="A797" s="163">
        <v>0.768</v>
      </c>
      <c r="B797" s="164">
        <f t="shared" si="22"/>
        <v>49.67809725504764</v>
      </c>
      <c r="C797" s="165">
        <f t="shared" si="23"/>
        <v>55555.34825699738</v>
      </c>
      <c r="D797" s="145"/>
    </row>
    <row r="798" spans="1:4" ht="12.75">
      <c r="A798" s="163">
        <v>0.769</v>
      </c>
      <c r="B798" s="164">
        <f aca="true" t="shared" si="24" ref="B798:B861">$C$6+NORMSINV($A798)*$C$11*$C$6</f>
        <v>49.6811358301353</v>
      </c>
      <c r="C798" s="165">
        <f aca="true" t="shared" si="25" ref="C798:C861">EPortfolio($C$5+1/252,$B798,$C$7,$C$8,$C$9,,$C$10,$H$7:$L$10,0)</f>
        <v>55557.08324465538</v>
      </c>
      <c r="D798" s="145"/>
    </row>
    <row r="799" spans="1:4" ht="12.75">
      <c r="A799" s="163">
        <v>0.77</v>
      </c>
      <c r="B799" s="164">
        <f t="shared" si="24"/>
        <v>49.6841817569677</v>
      </c>
      <c r="C799" s="165">
        <f t="shared" si="25"/>
        <v>55558.82360507522</v>
      </c>
      <c r="D799" s="145"/>
    </row>
    <row r="800" spans="1:4" ht="12.75">
      <c r="A800" s="163">
        <v>0.771</v>
      </c>
      <c r="B800" s="164">
        <f t="shared" si="24"/>
        <v>49.6872351043217</v>
      </c>
      <c r="C800" s="165">
        <f t="shared" si="25"/>
        <v>55560.569385992654</v>
      </c>
      <c r="D800" s="145"/>
    </row>
    <row r="801" spans="1:4" ht="12.75">
      <c r="A801" s="163">
        <v>0.772</v>
      </c>
      <c r="B801" s="164">
        <f t="shared" si="24"/>
        <v>49.69029594180114</v>
      </c>
      <c r="C801" s="165">
        <f t="shared" si="25"/>
        <v>55562.320635742115</v>
      </c>
      <c r="D801" s="145"/>
    </row>
    <row r="802" spans="1:4" ht="12.75">
      <c r="A802" s="163">
        <v>0.773</v>
      </c>
      <c r="B802" s="164">
        <f t="shared" si="24"/>
        <v>49.693364339851115</v>
      </c>
      <c r="C802" s="165">
        <f t="shared" si="25"/>
        <v>55564.07740326714</v>
      </c>
      <c r="D802" s="145"/>
    </row>
    <row r="803" spans="1:4" ht="12.75">
      <c r="A803" s="163">
        <v>0.774</v>
      </c>
      <c r="B803" s="164">
        <f t="shared" si="24"/>
        <v>49.69644036977252</v>
      </c>
      <c r="C803" s="165">
        <f t="shared" si="25"/>
        <v>55565.83973813089</v>
      </c>
      <c r="D803" s="145"/>
    </row>
    <row r="804" spans="1:4" ht="12.75">
      <c r="A804" s="163">
        <v>0.775</v>
      </c>
      <c r="B804" s="164">
        <f t="shared" si="24"/>
        <v>49.699524103736884</v>
      </c>
      <c r="C804" s="165">
        <f t="shared" si="25"/>
        <v>55567.607690526966</v>
      </c>
      <c r="D804" s="145"/>
    </row>
    <row r="805" spans="1:4" ht="12.75">
      <c r="A805" s="163">
        <v>0.776</v>
      </c>
      <c r="B805" s="164">
        <f t="shared" si="24"/>
        <v>49.70261561480157</v>
      </c>
      <c r="C805" s="165">
        <f t="shared" si="25"/>
        <v>55569.381311290555</v>
      </c>
      <c r="D805" s="145"/>
    </row>
    <row r="806" spans="1:4" ht="12.75">
      <c r="A806" s="163">
        <v>0.777</v>
      </c>
      <c r="B806" s="164">
        <f t="shared" si="24"/>
        <v>49.70571497692526</v>
      </c>
      <c r="C806" s="165">
        <f t="shared" si="25"/>
        <v>55571.16065190966</v>
      </c>
      <c r="D806" s="145"/>
    </row>
    <row r="807" spans="1:4" ht="12.75">
      <c r="A807" s="163">
        <v>0.778</v>
      </c>
      <c r="B807" s="164">
        <f t="shared" si="24"/>
        <v>49.708822264983795</v>
      </c>
      <c r="C807" s="165">
        <f t="shared" si="25"/>
        <v>55572.94576453664</v>
      </c>
      <c r="D807" s="145"/>
    </row>
    <row r="808" spans="1:4" ht="12.75">
      <c r="A808" s="163">
        <v>0.779</v>
      </c>
      <c r="B808" s="164">
        <f t="shared" si="24"/>
        <v>49.71193755478641</v>
      </c>
      <c r="C808" s="165">
        <f t="shared" si="25"/>
        <v>55574.736702000184</v>
      </c>
      <c r="D808" s="145"/>
    </row>
    <row r="809" spans="1:4" ht="12.75">
      <c r="A809" s="163">
        <v>0.78</v>
      </c>
      <c r="B809" s="164">
        <f t="shared" si="24"/>
        <v>49.71506092309221</v>
      </c>
      <c r="C809" s="165">
        <f t="shared" si="25"/>
        <v>55576.533517817115</v>
      </c>
      <c r="D809" s="145"/>
    </row>
    <row r="810" spans="1:4" ht="12.75">
      <c r="A810" s="163">
        <v>0.781</v>
      </c>
      <c r="B810" s="164">
        <f t="shared" si="24"/>
        <v>49.71819244762717</v>
      </c>
      <c r="C810" s="165">
        <f t="shared" si="25"/>
        <v>55578.33626620499</v>
      </c>
      <c r="D810" s="145"/>
    </row>
    <row r="811" spans="1:4" ht="12.75">
      <c r="A811" s="163">
        <v>0.782</v>
      </c>
      <c r="B811" s="164">
        <f t="shared" si="24"/>
        <v>49.72133220710134</v>
      </c>
      <c r="C811" s="165">
        <f t="shared" si="25"/>
        <v>55580.14500209456</v>
      </c>
      <c r="D811" s="145"/>
    </row>
    <row r="812" spans="1:4" ht="12.75">
      <c r="A812" s="163">
        <v>0.783</v>
      </c>
      <c r="B812" s="164">
        <f t="shared" si="24"/>
        <v>49.72448028122659</v>
      </c>
      <c r="C812" s="165">
        <f t="shared" si="25"/>
        <v>55581.95978114279</v>
      </c>
      <c r="D812" s="145"/>
    </row>
    <row r="813" spans="1:4" ht="12.75">
      <c r="A813" s="163">
        <v>0.784</v>
      </c>
      <c r="B813" s="164">
        <f t="shared" si="24"/>
        <v>49.72763675073465</v>
      </c>
      <c r="C813" s="165">
        <f t="shared" si="25"/>
        <v>55583.78065974597</v>
      </c>
      <c r="D813" s="145"/>
    </row>
    <row r="814" spans="1:4" ht="12.75">
      <c r="A814" s="163">
        <v>0.785</v>
      </c>
      <c r="B814" s="164">
        <f t="shared" si="24"/>
        <v>49.730801697395606</v>
      </c>
      <c r="C814" s="165">
        <f t="shared" si="25"/>
        <v>55585.60769505327</v>
      </c>
      <c r="D814" s="145"/>
    </row>
    <row r="815" spans="1:4" ht="12.75">
      <c r="A815" s="163">
        <v>0.786</v>
      </c>
      <c r="B815" s="164">
        <f t="shared" si="24"/>
        <v>49.733975204036774</v>
      </c>
      <c r="C815" s="165">
        <f t="shared" si="25"/>
        <v>55587.4409449806</v>
      </c>
      <c r="D815" s="145"/>
    </row>
    <row r="816" spans="1:4" ht="12.75">
      <c r="A816" s="163">
        <v>0.787</v>
      </c>
      <c r="B816" s="164">
        <f t="shared" si="24"/>
        <v>49.73715735456208</v>
      </c>
      <c r="C816" s="165">
        <f t="shared" si="25"/>
        <v>55589.28046822458</v>
      </c>
      <c r="D816" s="145"/>
    </row>
    <row r="817" spans="1:4" ht="12.75">
      <c r="A817" s="163">
        <v>0.788</v>
      </c>
      <c r="B817" s="164">
        <f t="shared" si="24"/>
        <v>49.74034823397179</v>
      </c>
      <c r="C817" s="165">
        <f t="shared" si="25"/>
        <v>55591.1263242772</v>
      </c>
      <c r="D817" s="145"/>
    </row>
    <row r="818" spans="1:4" ht="12.75">
      <c r="A818" s="163">
        <v>0.789</v>
      </c>
      <c r="B818" s="164">
        <f t="shared" si="24"/>
        <v>49.743547928382746</v>
      </c>
      <c r="C818" s="165">
        <f t="shared" si="25"/>
        <v>55592.97857344045</v>
      </c>
      <c r="D818" s="145"/>
    </row>
    <row r="819" spans="1:4" ht="12.75">
      <c r="A819" s="163">
        <v>0.79</v>
      </c>
      <c r="B819" s="164">
        <f t="shared" si="24"/>
        <v>49.7467565250491</v>
      </c>
      <c r="C819" s="165">
        <f t="shared" si="25"/>
        <v>55594.83727684164</v>
      </c>
      <c r="D819" s="145"/>
    </row>
    <row r="820" spans="1:4" ht="12.75">
      <c r="A820" s="163">
        <v>0.791</v>
      </c>
      <c r="B820" s="164">
        <f t="shared" si="24"/>
        <v>49.74997411238343</v>
      </c>
      <c r="C820" s="165">
        <f t="shared" si="25"/>
        <v>55596.70249644868</v>
      </c>
      <c r="D820" s="145"/>
    </row>
    <row r="821" spans="1:4" ht="12.75">
      <c r="A821" s="163">
        <v>0.792</v>
      </c>
      <c r="B821" s="164">
        <f t="shared" si="24"/>
        <v>49.75320077997844</v>
      </c>
      <c r="C821" s="165">
        <f t="shared" si="25"/>
        <v>55598.57429508612</v>
      </c>
      <c r="D821" s="145"/>
    </row>
    <row r="822" spans="1:4" ht="12.75">
      <c r="A822" s="163">
        <v>0.793</v>
      </c>
      <c r="B822" s="164">
        <f t="shared" si="24"/>
        <v>49.75643661862917</v>
      </c>
      <c r="C822" s="165">
        <f t="shared" si="25"/>
        <v>55600.45273645133</v>
      </c>
      <c r="D822" s="145"/>
    </row>
    <row r="823" spans="1:4" ht="12.75">
      <c r="A823" s="163">
        <v>0.794</v>
      </c>
      <c r="B823" s="164">
        <f t="shared" si="24"/>
        <v>49.75968172035564</v>
      </c>
      <c r="C823" s="165">
        <f t="shared" si="25"/>
        <v>55602.3378851311</v>
      </c>
      <c r="D823" s="145"/>
    </row>
    <row r="824" spans="1:4" ht="12.75">
      <c r="A824" s="163">
        <v>0.795</v>
      </c>
      <c r="B824" s="164">
        <f t="shared" si="24"/>
        <v>49.7629361784261</v>
      </c>
      <c r="C824" s="165">
        <f t="shared" si="25"/>
        <v>55604.22980661873</v>
      </c>
      <c r="D824" s="145"/>
    </row>
    <row r="825" spans="1:4" ht="12.75">
      <c r="A825" s="163">
        <v>0.796</v>
      </c>
      <c r="B825" s="164">
        <f t="shared" si="24"/>
        <v>49.76620008738087</v>
      </c>
      <c r="C825" s="165">
        <f t="shared" si="25"/>
        <v>55606.128567331354</v>
      </c>
      <c r="D825" s="145"/>
    </row>
    <row r="826" spans="1:4" ht="12.75">
      <c r="A826" s="163">
        <v>0.797</v>
      </c>
      <c r="B826" s="164">
        <f t="shared" si="24"/>
        <v>49.769473543056634</v>
      </c>
      <c r="C826" s="165">
        <f t="shared" si="25"/>
        <v>55608.03423462796</v>
      </c>
      <c r="D826" s="145"/>
    </row>
    <row r="827" spans="1:4" ht="12.75">
      <c r="A827" s="163">
        <v>0.798</v>
      </c>
      <c r="B827" s="164">
        <f t="shared" si="24"/>
        <v>49.772756642611434</v>
      </c>
      <c r="C827" s="165">
        <f t="shared" si="25"/>
        <v>55609.94687682753</v>
      </c>
      <c r="D827" s="145"/>
    </row>
    <row r="828" spans="1:4" ht="12.75">
      <c r="A828" s="163">
        <v>0.799</v>
      </c>
      <c r="B828" s="164">
        <f t="shared" si="24"/>
        <v>49.776049484550185</v>
      </c>
      <c r="C828" s="165">
        <f t="shared" si="25"/>
        <v>55611.866563227835</v>
      </c>
      <c r="D828" s="145"/>
    </row>
    <row r="829" spans="1:4" ht="12.75">
      <c r="A829" s="163">
        <v>0.8</v>
      </c>
      <c r="B829" s="164">
        <f t="shared" si="24"/>
        <v>49.77935216875087</v>
      </c>
      <c r="C829" s="165">
        <f t="shared" si="25"/>
        <v>55613.793364124685</v>
      </c>
      <c r="D829" s="145"/>
    </row>
    <row r="830" spans="1:4" ht="12.75">
      <c r="A830" s="163">
        <v>0.801</v>
      </c>
      <c r="B830" s="164">
        <f t="shared" si="24"/>
        <v>49.782664796491325</v>
      </c>
      <c r="C830" s="165">
        <f t="shared" si="25"/>
        <v>55615.72735083151</v>
      </c>
      <c r="D830" s="145"/>
    </row>
    <row r="831" spans="1:4" ht="12.75">
      <c r="A831" s="163">
        <v>0.802</v>
      </c>
      <c r="B831" s="164">
        <f t="shared" si="24"/>
        <v>49.78598747047672</v>
      </c>
      <c r="C831" s="165">
        <f t="shared" si="25"/>
        <v>55617.66859569956</v>
      </c>
      <c r="D831" s="145"/>
    </row>
    <row r="832" spans="1:4" ht="12.75">
      <c r="A832" s="163">
        <v>0.803</v>
      </c>
      <c r="B832" s="164">
        <f t="shared" si="24"/>
        <v>49.78932029486768</v>
      </c>
      <c r="C832" s="165">
        <f t="shared" si="25"/>
        <v>55619.6171721386</v>
      </c>
      <c r="D832" s="145"/>
    </row>
    <row r="833" spans="1:4" ht="12.75">
      <c r="A833" s="163">
        <v>0.804</v>
      </c>
      <c r="B833" s="164">
        <f t="shared" si="24"/>
        <v>49.792663375309154</v>
      </c>
      <c r="C833" s="165">
        <f t="shared" si="25"/>
        <v>55621.57315463804</v>
      </c>
      <c r="D833" s="145"/>
    </row>
    <row r="834" spans="1:4" ht="12.75">
      <c r="A834" s="163">
        <v>0.805</v>
      </c>
      <c r="B834" s="164">
        <f t="shared" si="24"/>
        <v>49.79601681895993</v>
      </c>
      <c r="C834" s="165">
        <f t="shared" si="25"/>
        <v>55623.536618788654</v>
      </c>
      <c r="D834" s="145"/>
    </row>
    <row r="835" spans="1:4" ht="12.75">
      <c r="A835" s="163">
        <v>0.806</v>
      </c>
      <c r="B835" s="164">
        <f t="shared" si="24"/>
        <v>49.799380734522956</v>
      </c>
      <c r="C835" s="165">
        <f t="shared" si="25"/>
        <v>55625.507641304896</v>
      </c>
      <c r="D835" s="145"/>
    </row>
    <row r="836" spans="1:4" ht="12.75">
      <c r="A836" s="163">
        <v>0.807</v>
      </c>
      <c r="B836" s="164">
        <f t="shared" si="24"/>
        <v>49.80275523227641</v>
      </c>
      <c r="C836" s="165">
        <f t="shared" si="25"/>
        <v>55627.48630004765</v>
      </c>
      <c r="D836" s="145"/>
    </row>
    <row r="837" spans="1:4" ht="12.75">
      <c r="A837" s="163">
        <v>0.808</v>
      </c>
      <c r="B837" s="164">
        <f t="shared" si="24"/>
        <v>49.80614042410552</v>
      </c>
      <c r="C837" s="165">
        <f t="shared" si="25"/>
        <v>55629.47267404768</v>
      </c>
      <c r="D837" s="145"/>
    </row>
    <row r="838" spans="1:4" ht="12.75">
      <c r="A838" s="163">
        <v>0.809</v>
      </c>
      <c r="B838" s="164">
        <f t="shared" si="24"/>
        <v>49.809536423535235</v>
      </c>
      <c r="C838" s="165">
        <f t="shared" si="25"/>
        <v>55631.46684352972</v>
      </c>
      <c r="D838" s="145"/>
    </row>
    <row r="839" spans="1:4" ht="12.75">
      <c r="A839" s="163">
        <v>0.81</v>
      </c>
      <c r="B839" s="164">
        <f t="shared" si="24"/>
        <v>49.812943345763685</v>
      </c>
      <c r="C839" s="165">
        <f t="shared" si="25"/>
        <v>55633.46888993696</v>
      </c>
      <c r="D839" s="145"/>
    </row>
    <row r="840" spans="1:4" ht="12.75">
      <c r="A840" s="163">
        <v>0.811</v>
      </c>
      <c r="B840" s="164">
        <f t="shared" si="24"/>
        <v>49.81636130769658</v>
      </c>
      <c r="C840" s="165">
        <f t="shared" si="25"/>
        <v>55635.478895956425</v>
      </c>
      <c r="D840" s="145"/>
    </row>
    <row r="841" spans="1:4" ht="12.75">
      <c r="A841" s="163">
        <v>0.812</v>
      </c>
      <c r="B841" s="164">
        <f t="shared" si="24"/>
        <v>49.8197904279824</v>
      </c>
      <c r="C841" s="165">
        <f t="shared" si="25"/>
        <v>55637.4969455449</v>
      </c>
      <c r="D841" s="145"/>
    </row>
    <row r="842" spans="1:4" ht="12.75">
      <c r="A842" s="163">
        <v>0.8130000000000001</v>
      </c>
      <c r="B842" s="164">
        <f t="shared" si="24"/>
        <v>49.82323082704856</v>
      </c>
      <c r="C842" s="165">
        <f t="shared" si="25"/>
        <v>55639.52312395553</v>
      </c>
      <c r="D842" s="145"/>
    </row>
    <row r="843" spans="1:4" ht="12.75">
      <c r="A843" s="163">
        <v>0.8140000000000001</v>
      </c>
      <c r="B843" s="164">
        <f t="shared" si="24"/>
        <v>49.82668262713853</v>
      </c>
      <c r="C843" s="165">
        <f t="shared" si="25"/>
        <v>55641.55751776516</v>
      </c>
      <c r="D843" s="145"/>
    </row>
    <row r="844" spans="1:4" ht="12.75">
      <c r="A844" s="163">
        <v>0.815</v>
      </c>
      <c r="B844" s="164">
        <f t="shared" si="24"/>
        <v>49.830145952349895</v>
      </c>
      <c r="C844" s="165">
        <f t="shared" si="25"/>
        <v>55643.6002149024</v>
      </c>
      <c r="D844" s="145"/>
    </row>
    <row r="845" spans="1:4" ht="12.75">
      <c r="A845" s="163">
        <v>0.8160000000000001</v>
      </c>
      <c r="B845" s="164">
        <f t="shared" si="24"/>
        <v>49.83362092867339</v>
      </c>
      <c r="C845" s="165">
        <f t="shared" si="25"/>
        <v>55645.6513046763</v>
      </c>
      <c r="D845" s="145"/>
    </row>
    <row r="846" spans="1:4" ht="12.75">
      <c r="A846" s="163">
        <v>0.8170000000000001</v>
      </c>
      <c r="B846" s="164">
        <f t="shared" si="24"/>
        <v>49.837107684033086</v>
      </c>
      <c r="C846" s="165">
        <f t="shared" si="25"/>
        <v>55647.7108778061</v>
      </c>
      <c r="D846" s="145"/>
    </row>
    <row r="847" spans="1:4" ht="12.75">
      <c r="A847" s="163">
        <v>0.8180000000000001</v>
      </c>
      <c r="B847" s="164">
        <f t="shared" si="24"/>
        <v>49.84060634832751</v>
      </c>
      <c r="C847" s="165">
        <f t="shared" si="25"/>
        <v>55649.77902645147</v>
      </c>
      <c r="D847" s="145"/>
    </row>
    <row r="848" spans="1:4" ht="12.75">
      <c r="A848" s="163">
        <v>0.8190000000000001</v>
      </c>
      <c r="B848" s="164">
        <f t="shared" si="24"/>
        <v>49.84411705347198</v>
      </c>
      <c r="C848" s="165">
        <f t="shared" si="25"/>
        <v>55651.85584424375</v>
      </c>
      <c r="D848" s="145"/>
    </row>
    <row r="849" spans="1:4" ht="12.75">
      <c r="A849" s="163">
        <v>0.82</v>
      </c>
      <c r="B849" s="164">
        <f t="shared" si="24"/>
        <v>49.847639933442004</v>
      </c>
      <c r="C849" s="165">
        <f t="shared" si="25"/>
        <v>55653.94142631794</v>
      </c>
      <c r="D849" s="145"/>
    </row>
    <row r="850" spans="1:4" ht="12.75">
      <c r="A850" s="163">
        <v>0.8210000000000001</v>
      </c>
      <c r="B850" s="164">
        <f t="shared" si="24"/>
        <v>49.85117512431792</v>
      </c>
      <c r="C850" s="165">
        <f t="shared" si="25"/>
        <v>55656.03586934569</v>
      </c>
      <c r="D850" s="145"/>
    </row>
    <row r="851" spans="1:4" ht="12.75">
      <c r="A851" s="163">
        <v>0.8220000000000001</v>
      </c>
      <c r="B851" s="164">
        <f t="shared" si="24"/>
        <v>49.8547227643307</v>
      </c>
      <c r="C851" s="165">
        <f t="shared" si="25"/>
        <v>55658.13927156913</v>
      </c>
      <c r="D851" s="145"/>
    </row>
    <row r="852" spans="1:4" ht="12.75">
      <c r="A852" s="163">
        <v>0.8230000000000001</v>
      </c>
      <c r="B852" s="164">
        <f t="shared" si="24"/>
        <v>49.85828299390905</v>
      </c>
      <c r="C852" s="165">
        <f t="shared" si="25"/>
        <v>55660.25173283557</v>
      </c>
      <c r="D852" s="145"/>
    </row>
    <row r="853" spans="1:4" ht="12.75">
      <c r="A853" s="163">
        <v>0.8240000000000001</v>
      </c>
      <c r="B853" s="164">
        <f t="shared" si="24"/>
        <v>49.86185595572779</v>
      </c>
      <c r="C853" s="165">
        <f t="shared" si="25"/>
        <v>55662.37335463324</v>
      </c>
      <c r="D853" s="145"/>
    </row>
    <row r="854" spans="1:4" ht="12.75">
      <c r="A854" s="163">
        <v>0.825</v>
      </c>
      <c r="B854" s="164">
        <f t="shared" si="24"/>
        <v>49.86544179475761</v>
      </c>
      <c r="C854" s="165">
        <f t="shared" si="25"/>
        <v>55664.50424012814</v>
      </c>
      <c r="D854" s="145"/>
    </row>
    <row r="855" spans="1:4" ht="12.75">
      <c r="A855" s="163">
        <v>0.8260000000000001</v>
      </c>
      <c r="B855" s="164">
        <f t="shared" si="24"/>
        <v>49.86904065831613</v>
      </c>
      <c r="C855" s="165">
        <f t="shared" si="25"/>
        <v>55666.64449420168</v>
      </c>
      <c r="D855" s="145"/>
    </row>
    <row r="856" spans="1:4" ht="12.75">
      <c r="A856" s="163">
        <v>0.8270000000000001</v>
      </c>
      <c r="B856" s="164">
        <f t="shared" si="24"/>
        <v>49.87265269612055</v>
      </c>
      <c r="C856" s="165">
        <f t="shared" si="25"/>
        <v>55668.794223489684</v>
      </c>
      <c r="D856" s="145"/>
    </row>
    <row r="857" spans="1:4" ht="12.75">
      <c r="A857" s="163">
        <v>0.8280000000000001</v>
      </c>
      <c r="B857" s="164">
        <f t="shared" si="24"/>
        <v>49.876278060341576</v>
      </c>
      <c r="C857" s="165">
        <f t="shared" si="25"/>
        <v>55670.95353642216</v>
      </c>
      <c r="D857" s="145"/>
    </row>
    <row r="858" spans="1:4" ht="12.75">
      <c r="A858" s="163">
        <v>0.8290000000000001</v>
      </c>
      <c r="B858" s="164">
        <f t="shared" si="24"/>
        <v>49.87991690565911</v>
      </c>
      <c r="C858" s="165">
        <f t="shared" si="25"/>
        <v>55673.1225432646</v>
      </c>
      <c r="D858" s="145"/>
    </row>
    <row r="859" spans="1:4" ht="12.75">
      <c r="A859" s="163">
        <v>0.83</v>
      </c>
      <c r="B859" s="164">
        <f t="shared" si="24"/>
        <v>49.88356938931934</v>
      </c>
      <c r="C859" s="165">
        <f t="shared" si="25"/>
        <v>55675.30135616015</v>
      </c>
      <c r="D859" s="145"/>
    </row>
    <row r="860" spans="1:4" ht="12.75">
      <c r="A860" s="163">
        <v>0.8310000000000001</v>
      </c>
      <c r="B860" s="164">
        <f t="shared" si="24"/>
        <v>49.88723567119357</v>
      </c>
      <c r="C860" s="165">
        <f t="shared" si="25"/>
        <v>55677.490089173196</v>
      </c>
      <c r="D860" s="145"/>
    </row>
    <row r="861" spans="1:4" ht="12.75">
      <c r="A861" s="163">
        <v>0.8320000000000001</v>
      </c>
      <c r="B861" s="164">
        <f t="shared" si="24"/>
        <v>49.89091591383876</v>
      </c>
      <c r="C861" s="165">
        <f t="shared" si="25"/>
        <v>55679.68885833415</v>
      </c>
      <c r="D861" s="145"/>
    </row>
    <row r="862" spans="1:4" ht="12.75">
      <c r="A862" s="163">
        <v>0.8330000000000001</v>
      </c>
      <c r="B862" s="164">
        <f aca="true" t="shared" si="26" ref="B862:B925">$C$6+NORMSINV($A862)*$C$11*$C$6</f>
        <v>49.894610282559746</v>
      </c>
      <c r="C862" s="165">
        <f aca="true" t="shared" si="27" ref="C862:C925">EPortfolio($C$5+1/252,$B862,$C$7,$C$8,$C$9,,$C$10,$H$7:$L$10,0)</f>
        <v>55681.89778168553</v>
      </c>
      <c r="D862" s="145"/>
    </row>
    <row r="863" spans="1:4" ht="12.75">
      <c r="A863" s="163">
        <v>0.834</v>
      </c>
      <c r="B863" s="164">
        <f t="shared" si="26"/>
        <v>49.8983189454734</v>
      </c>
      <c r="C863" s="165">
        <f t="shared" si="27"/>
        <v>55684.11697932955</v>
      </c>
      <c r="D863" s="145"/>
    </row>
    <row r="864" spans="1:4" ht="12.75">
      <c r="A864" s="163">
        <v>0.835</v>
      </c>
      <c r="B864" s="164">
        <f t="shared" si="26"/>
        <v>49.902042073574556</v>
      </c>
      <c r="C864" s="165">
        <f t="shared" si="27"/>
        <v>55686.34657347687</v>
      </c>
      <c r="D864" s="145"/>
    </row>
    <row r="865" spans="1:4" ht="12.75">
      <c r="A865" s="163">
        <v>0.836</v>
      </c>
      <c r="B865" s="164">
        <f t="shared" si="26"/>
        <v>49.905779840803994</v>
      </c>
      <c r="C865" s="165">
        <f t="shared" si="27"/>
        <v>55688.58668849709</v>
      </c>
      <c r="D865" s="145"/>
    </row>
    <row r="866" spans="1:4" ht="12.75">
      <c r="A866" s="163">
        <v>0.837</v>
      </c>
      <c r="B866" s="164">
        <f t="shared" si="26"/>
        <v>49.909532424118396</v>
      </c>
      <c r="C866" s="165">
        <f t="shared" si="27"/>
        <v>55690.83745097051</v>
      </c>
      <c r="D866" s="145"/>
    </row>
    <row r="867" spans="1:4" ht="12.75">
      <c r="A867" s="163">
        <v>0.838</v>
      </c>
      <c r="B867" s="164">
        <f t="shared" si="26"/>
        <v>49.913300003562384</v>
      </c>
      <c r="C867" s="165">
        <f t="shared" si="27"/>
        <v>55693.09898974166</v>
      </c>
      <c r="D867" s="145"/>
    </row>
    <row r="868" spans="1:4" ht="12.75">
      <c r="A868" s="163">
        <v>0.839</v>
      </c>
      <c r="B868" s="164">
        <f t="shared" si="26"/>
        <v>49.91708276234282</v>
      </c>
      <c r="C868" s="165">
        <f t="shared" si="27"/>
        <v>55695.37143597443</v>
      </c>
      <c r="D868" s="145"/>
    </row>
    <row r="869" spans="1:4" ht="12.75">
      <c r="A869" s="163">
        <v>0.84</v>
      </c>
      <c r="B869" s="164">
        <f t="shared" si="26"/>
        <v>49.92088088690525</v>
      </c>
      <c r="C869" s="165">
        <f t="shared" si="27"/>
        <v>55697.65492320868</v>
      </c>
      <c r="D869" s="145"/>
    </row>
    <row r="870" spans="1:4" ht="12.75">
      <c r="A870" s="163">
        <v>0.841</v>
      </c>
      <c r="B870" s="164">
        <f t="shared" si="26"/>
        <v>49.92469456701278</v>
      </c>
      <c r="C870" s="165">
        <f t="shared" si="27"/>
        <v>55699.94958741893</v>
      </c>
      <c r="D870" s="145"/>
    </row>
    <row r="871" spans="1:4" ht="12.75">
      <c r="A871" s="163">
        <v>0.842</v>
      </c>
      <c r="B871" s="164">
        <f t="shared" si="26"/>
        <v>49.92852399582731</v>
      </c>
      <c r="C871" s="165">
        <f t="shared" si="27"/>
        <v>55702.25556707463</v>
      </c>
      <c r="D871" s="145"/>
    </row>
    <row r="872" spans="1:4" ht="12.75">
      <c r="A872" s="163">
        <v>0.843</v>
      </c>
      <c r="B872" s="164">
        <f t="shared" si="26"/>
        <v>49.93236936999335</v>
      </c>
      <c r="C872" s="165">
        <f t="shared" si="27"/>
        <v>55704.57300320238</v>
      </c>
      <c r="D872" s="145"/>
    </row>
    <row r="873" spans="1:4" ht="12.75">
      <c r="A873" s="163">
        <v>0.844</v>
      </c>
      <c r="B873" s="164">
        <f t="shared" si="26"/>
        <v>49.93623088972438</v>
      </c>
      <c r="C873" s="165">
        <f t="shared" si="27"/>
        <v>55706.90203945021</v>
      </c>
      <c r="D873" s="145"/>
    </row>
    <row r="874" spans="1:4" ht="12.75">
      <c r="A874" s="163">
        <v>0.845</v>
      </c>
      <c r="B874" s="164">
        <f t="shared" si="26"/>
        <v>49.94010875889197</v>
      </c>
      <c r="C874" s="165">
        <f t="shared" si="27"/>
        <v>55709.24282215372</v>
      </c>
      <c r="D874" s="145"/>
    </row>
    <row r="875" spans="1:4" ht="12.75">
      <c r="A875" s="163">
        <v>0.846</v>
      </c>
      <c r="B875" s="164">
        <f t="shared" si="26"/>
        <v>49.944003185117666</v>
      </c>
      <c r="C875" s="165">
        <f t="shared" si="27"/>
        <v>55711.595500404444</v>
      </c>
      <c r="D875" s="145"/>
    </row>
    <row r="876" spans="1:4" ht="12.75">
      <c r="A876" s="163">
        <v>0.847</v>
      </c>
      <c r="B876" s="164">
        <f t="shared" si="26"/>
        <v>49.947914379867875</v>
      </c>
      <c r="C876" s="165">
        <f t="shared" si="27"/>
        <v>55713.96022612047</v>
      </c>
      <c r="D876" s="145"/>
    </row>
    <row r="877" spans="1:4" ht="12.75">
      <c r="A877" s="163">
        <v>0.848</v>
      </c>
      <c r="B877" s="164">
        <f t="shared" si="26"/>
        <v>49.951842558551704</v>
      </c>
      <c r="C877" s="165">
        <f t="shared" si="27"/>
        <v>55716.337154119145</v>
      </c>
      <c r="D877" s="145"/>
    </row>
    <row r="878" spans="1:4" ht="12.75">
      <c r="A878" s="163">
        <v>0.849</v>
      </c>
      <c r="B878" s="164">
        <f t="shared" si="26"/>
        <v>49.95578794062197</v>
      </c>
      <c r="C878" s="165">
        <f t="shared" si="27"/>
        <v>55718.72644219234</v>
      </c>
      <c r="D878" s="145"/>
    </row>
    <row r="879" spans="1:4" ht="12.75">
      <c r="A879" s="163">
        <v>0.85</v>
      </c>
      <c r="B879" s="164">
        <f t="shared" si="26"/>
        <v>49.95975074967951</v>
      </c>
      <c r="C879" s="165">
        <f t="shared" si="27"/>
        <v>55721.12825118404</v>
      </c>
      <c r="D879" s="145"/>
    </row>
    <row r="880" spans="1:4" ht="12.75">
      <c r="A880" s="163">
        <v>0.851</v>
      </c>
      <c r="B880" s="164">
        <f t="shared" si="26"/>
        <v>49.96373121358088</v>
      </c>
      <c r="C880" s="165">
        <f t="shared" si="27"/>
        <v>55723.54274507059</v>
      </c>
      <c r="D880" s="145"/>
    </row>
    <row r="881" spans="1:4" ht="12.75">
      <c r="A881" s="163">
        <v>0.852</v>
      </c>
      <c r="B881" s="164">
        <f t="shared" si="26"/>
        <v>49.96772956454959</v>
      </c>
      <c r="C881" s="165">
        <f t="shared" si="27"/>
        <v>55725.9700910436</v>
      </c>
      <c r="D881" s="145"/>
    </row>
    <row r="882" spans="1:4" ht="12.75">
      <c r="A882" s="163">
        <v>0.853</v>
      </c>
      <c r="B882" s="164">
        <f t="shared" si="26"/>
        <v>49.97174603929103</v>
      </c>
      <c r="C882" s="165">
        <f t="shared" si="27"/>
        <v>55728.410459595485</v>
      </c>
      <c r="D882" s="145"/>
    </row>
    <row r="883" spans="1:4" ht="12.75">
      <c r="A883" s="163">
        <v>0.854</v>
      </c>
      <c r="B883" s="164">
        <f t="shared" si="26"/>
        <v>49.97578087911117</v>
      </c>
      <c r="C883" s="165">
        <f t="shared" si="27"/>
        <v>55730.86402460809</v>
      </c>
      <c r="D883" s="145"/>
    </row>
    <row r="884" spans="1:4" ht="12.75">
      <c r="A884" s="163">
        <v>0.855</v>
      </c>
      <c r="B884" s="164">
        <f t="shared" si="26"/>
        <v>49.97983433003935</v>
      </c>
      <c r="C884" s="165">
        <f t="shared" si="27"/>
        <v>55733.33096344422</v>
      </c>
      <c r="D884" s="145"/>
    </row>
    <row r="885" spans="1:4" ht="12.75">
      <c r="A885" s="163">
        <v>0.856</v>
      </c>
      <c r="B885" s="164">
        <f t="shared" si="26"/>
        <v>49.983906642955105</v>
      </c>
      <c r="C885" s="165">
        <f t="shared" si="27"/>
        <v>55735.811457042095</v>
      </c>
      <c r="D885" s="145"/>
    </row>
    <row r="886" spans="1:4" ht="12.75">
      <c r="A886" s="163">
        <v>0.857</v>
      </c>
      <c r="B886" s="164">
        <f t="shared" si="26"/>
        <v>49.98799807371935</v>
      </c>
      <c r="C886" s="165">
        <f t="shared" si="27"/>
        <v>55738.30569001356</v>
      </c>
      <c r="D886" s="145"/>
    </row>
    <row r="887" spans="1:4" ht="12.75">
      <c r="A887" s="163">
        <v>0.858</v>
      </c>
      <c r="B887" s="164">
        <f t="shared" si="26"/>
        <v>49.9921088833101</v>
      </c>
      <c r="C887" s="165">
        <f t="shared" si="27"/>
        <v>55740.813850745086</v>
      </c>
      <c r="D887" s="145"/>
    </row>
    <row r="888" spans="1:4" ht="12.75">
      <c r="A888" s="163">
        <v>0.859</v>
      </c>
      <c r="B888" s="164">
        <f t="shared" si="26"/>
        <v>49.99623933796275</v>
      </c>
      <c r="C888" s="165">
        <f t="shared" si="27"/>
        <v>55743.336131502736</v>
      </c>
      <c r="D888" s="145"/>
    </row>
    <row r="889" spans="1:4" ht="12.75">
      <c r="A889" s="163">
        <v>0.86</v>
      </c>
      <c r="B889" s="164">
        <f t="shared" si="26"/>
        <v>50.000389709315364</v>
      </c>
      <c r="C889" s="165">
        <f t="shared" si="27"/>
        <v>55745.872728540584</v>
      </c>
      <c r="D889" s="145"/>
    </row>
    <row r="890" spans="1:4" ht="12.75">
      <c r="A890" s="163">
        <v>0.861</v>
      </c>
      <c r="B890" s="164">
        <f t="shared" si="26"/>
        <v>50.00456027455897</v>
      </c>
      <c r="C890" s="165">
        <f t="shared" si="27"/>
        <v>55748.4238422131</v>
      </c>
      <c r="D890" s="145"/>
    </row>
    <row r="891" spans="1:4" ht="12.75">
      <c r="A891" s="163">
        <v>0.862</v>
      </c>
      <c r="B891" s="164">
        <f t="shared" si="26"/>
        <v>50.008751316593155</v>
      </c>
      <c r="C891" s="165">
        <f t="shared" si="27"/>
        <v>55750.98967709142</v>
      </c>
      <c r="D891" s="145"/>
    </row>
    <row r="892" spans="1:4" ht="12.75">
      <c r="A892" s="163">
        <v>0.863</v>
      </c>
      <c r="B892" s="164">
        <f t="shared" si="26"/>
        <v>50.01296312418722</v>
      </c>
      <c r="C892" s="165">
        <f t="shared" si="27"/>
        <v>55753.570442083874</v>
      </c>
      <c r="D892" s="145"/>
    </row>
    <row r="893" spans="1:4" ht="12.75">
      <c r="A893" s="163">
        <v>0.864</v>
      </c>
      <c r="B893" s="164">
        <f t="shared" si="26"/>
        <v>50.01719599214704</v>
      </c>
      <c r="C893" s="165">
        <f t="shared" si="27"/>
        <v>55756.16635056076</v>
      </c>
      <c r="D893" s="145"/>
    </row>
    <row r="894" spans="1:4" ht="12.75">
      <c r="A894" s="163">
        <v>0.865</v>
      </c>
      <c r="B894" s="164">
        <f t="shared" si="26"/>
        <v>50.02145022148797</v>
      </c>
      <c r="C894" s="165">
        <f t="shared" si="27"/>
        <v>55758.777620483845</v>
      </c>
      <c r="D894" s="145"/>
    </row>
    <row r="895" spans="1:4" ht="12.75">
      <c r="A895" s="163">
        <v>0.866</v>
      </c>
      <c r="B895" s="164">
        <f t="shared" si="26"/>
        <v>50.02572611961406</v>
      </c>
      <c r="C895" s="165">
        <f t="shared" si="27"/>
        <v>55761.40447454041</v>
      </c>
      <c r="D895" s="145"/>
    </row>
    <row r="896" spans="1:4" ht="12.75">
      <c r="A896" s="163">
        <v>0.867</v>
      </c>
      <c r="B896" s="164">
        <f t="shared" si="26"/>
        <v>50.03002400050376</v>
      </c>
      <c r="C896" s="165">
        <f t="shared" si="27"/>
        <v>55764.04714028236</v>
      </c>
      <c r="D896" s="145"/>
    </row>
    <row r="897" spans="1:4" ht="12.75">
      <c r="A897" s="163">
        <v>0.868</v>
      </c>
      <c r="B897" s="164">
        <f t="shared" si="26"/>
        <v>50.03434418490245</v>
      </c>
      <c r="C897" s="165">
        <f t="shared" si="27"/>
        <v>55766.70585027051</v>
      </c>
      <c r="D897" s="145"/>
    </row>
    <row r="898" spans="1:4" ht="12.75">
      <c r="A898" s="163">
        <v>0.869</v>
      </c>
      <c r="B898" s="164">
        <f t="shared" si="26"/>
        <v>50.03868700052224</v>
      </c>
      <c r="C898" s="165">
        <f t="shared" si="27"/>
        <v>55769.38084222419</v>
      </c>
      <c r="D898" s="145"/>
    </row>
    <row r="899" spans="1:4" ht="12.75">
      <c r="A899" s="163">
        <v>0.87</v>
      </c>
      <c r="B899" s="164">
        <f t="shared" si="26"/>
        <v>50.04305278224908</v>
      </c>
      <c r="C899" s="165">
        <f t="shared" si="27"/>
        <v>55772.07235917662</v>
      </c>
      <c r="D899" s="145"/>
    </row>
    <row r="900" spans="1:4" ht="12.75">
      <c r="A900" s="163">
        <v>0.871</v>
      </c>
      <c r="B900" s="164">
        <f t="shared" si="26"/>
        <v>50.04744187235782</v>
      </c>
      <c r="C900" s="165">
        <f t="shared" si="27"/>
        <v>55774.7806496362</v>
      </c>
      <c r="D900" s="145"/>
    </row>
    <row r="901" spans="1:4" ht="12.75">
      <c r="A901" s="163">
        <v>0.872</v>
      </c>
      <c r="B901" s="164">
        <f t="shared" si="26"/>
        <v>50.051854620735355</v>
      </c>
      <c r="C901" s="165">
        <f t="shared" si="27"/>
        <v>55777.5059677538</v>
      </c>
      <c r="D901" s="145"/>
    </row>
    <row r="902" spans="1:4" ht="12.75">
      <c r="A902" s="163">
        <v>0.873</v>
      </c>
      <c r="B902" s="164">
        <f t="shared" si="26"/>
        <v>50.05629138511233</v>
      </c>
      <c r="C902" s="165">
        <f t="shared" si="27"/>
        <v>55780.24857349679</v>
      </c>
      <c r="D902" s="145"/>
    </row>
    <row r="903" spans="1:4" ht="12.75">
      <c r="A903" s="163">
        <v>0.874</v>
      </c>
      <c r="B903" s="164">
        <f t="shared" si="26"/>
        <v>50.0607525313038</v>
      </c>
      <c r="C903" s="165">
        <f t="shared" si="27"/>
        <v>55783.00873282964</v>
      </c>
      <c r="D903" s="145"/>
    </row>
    <row r="904" spans="1:4" ht="12.75">
      <c r="A904" s="163">
        <v>0.875</v>
      </c>
      <c r="B904" s="164">
        <f t="shared" si="26"/>
        <v>50.06523843345926</v>
      </c>
      <c r="C904" s="165">
        <f t="shared" si="27"/>
        <v>55785.78671790178</v>
      </c>
      <c r="D904" s="145"/>
    </row>
    <row r="905" spans="1:4" ht="12.75">
      <c r="A905" s="163">
        <v>0.876</v>
      </c>
      <c r="B905" s="164">
        <f t="shared" si="26"/>
        <v>50.06974947432245</v>
      </c>
      <c r="C905" s="165">
        <f t="shared" si="27"/>
        <v>55788.58280724273</v>
      </c>
      <c r="D905" s="145"/>
    </row>
    <row r="906" spans="1:4" ht="12.75">
      <c r="A906" s="163">
        <v>0.877</v>
      </c>
      <c r="B906" s="164">
        <f t="shared" si="26"/>
        <v>50.07428604550147</v>
      </c>
      <c r="C906" s="165">
        <f t="shared" si="27"/>
        <v>55791.39728596522</v>
      </c>
      <c r="D906" s="145"/>
    </row>
    <row r="907" spans="1:4" ht="12.75">
      <c r="A907" s="163">
        <v>0.878</v>
      </c>
      <c r="B907" s="164">
        <f t="shared" si="26"/>
        <v>50.07884854774964</v>
      </c>
      <c r="C907" s="165">
        <f t="shared" si="27"/>
        <v>55794.23044597628</v>
      </c>
      <c r="D907" s="145"/>
    </row>
    <row r="908" spans="1:4" ht="12.75">
      <c r="A908" s="163">
        <v>0.879</v>
      </c>
      <c r="B908" s="164">
        <f t="shared" si="26"/>
        <v>50.08343739125759</v>
      </c>
      <c r="C908" s="165">
        <f t="shared" si="27"/>
        <v>55797.082586197044</v>
      </c>
      <c r="D908" s="145"/>
    </row>
    <row r="909" spans="1:4" ht="12.75">
      <c r="A909" s="163">
        <v>0.88</v>
      </c>
      <c r="B909" s="164">
        <f t="shared" si="26"/>
        <v>50.088052995957355</v>
      </c>
      <c r="C909" s="165">
        <f t="shared" si="27"/>
        <v>55799.95401279153</v>
      </c>
      <c r="D909" s="145"/>
    </row>
    <row r="910" spans="1:4" ht="12.75">
      <c r="A910" s="163">
        <v>0.881</v>
      </c>
      <c r="B910" s="164">
        <f t="shared" si="26"/>
        <v>50.09269579183868</v>
      </c>
      <c r="C910" s="165">
        <f t="shared" si="27"/>
        <v>55802.8450394048</v>
      </c>
      <c r="D910" s="145"/>
    </row>
    <row r="911" spans="1:4" ht="12.75">
      <c r="A911" s="163">
        <v>0.882</v>
      </c>
      <c r="B911" s="164">
        <f t="shared" si="26"/>
        <v>50.09736621927852</v>
      </c>
      <c r="C911" s="165">
        <f t="shared" si="27"/>
        <v>55805.7559874111</v>
      </c>
      <c r="D911" s="145"/>
    </row>
    <row r="912" spans="1:4" ht="12.75">
      <c r="A912" s="163">
        <v>0.883</v>
      </c>
      <c r="B912" s="164">
        <f t="shared" si="26"/>
        <v>50.10206472938418</v>
      </c>
      <c r="C912" s="165">
        <f t="shared" si="27"/>
        <v>55808.68718617238</v>
      </c>
      <c r="D912" s="145"/>
    </row>
    <row r="913" spans="1:4" ht="12.75">
      <c r="A913" s="163">
        <v>0.884</v>
      </c>
      <c r="B913" s="164">
        <f t="shared" si="26"/>
        <v>50.10679178435082</v>
      </c>
      <c r="C913" s="165">
        <f t="shared" si="27"/>
        <v>55811.63897330773</v>
      </c>
      <c r="D913" s="145"/>
    </row>
    <row r="914" spans="1:4" ht="12.75">
      <c r="A914" s="163">
        <v>0.885</v>
      </c>
      <c r="B914" s="164">
        <f t="shared" si="26"/>
        <v>50.1115478578341</v>
      </c>
      <c r="C914" s="165">
        <f t="shared" si="27"/>
        <v>55814.611694974425</v>
      </c>
      <c r="D914" s="145"/>
    </row>
    <row r="915" spans="1:4" ht="12.75">
      <c r="A915" s="163">
        <v>0.886</v>
      </c>
      <c r="B915" s="164">
        <f t="shared" si="26"/>
        <v>50.116333435338724</v>
      </c>
      <c r="C915" s="165">
        <f t="shared" si="27"/>
        <v>55817.605706160975</v>
      </c>
      <c r="D915" s="145"/>
    </row>
    <row r="916" spans="1:4" ht="12.75">
      <c r="A916" s="163">
        <v>0.887</v>
      </c>
      <c r="B916" s="164">
        <f t="shared" si="26"/>
        <v>50.1211490146237</v>
      </c>
      <c r="C916" s="165">
        <f t="shared" si="27"/>
        <v>55820.62137099296</v>
      </c>
      <c r="D916" s="145"/>
    </row>
    <row r="917" spans="1:4" ht="12.75">
      <c r="A917" s="163">
        <v>0.888</v>
      </c>
      <c r="B917" s="164">
        <f t="shared" si="26"/>
        <v>50.12599510612515</v>
      </c>
      <c r="C917" s="165">
        <f t="shared" si="27"/>
        <v>55823.6590630522</v>
      </c>
      <c r="D917" s="145"/>
    </row>
    <row r="918" spans="1:4" ht="12.75">
      <c r="A918" s="163">
        <v>0.889</v>
      </c>
      <c r="B918" s="164">
        <f t="shared" si="26"/>
        <v>50.13087223339775</v>
      </c>
      <c r="C918" s="165">
        <f t="shared" si="27"/>
        <v>55826.71916571022</v>
      </c>
      <c r="D918" s="145"/>
    </row>
    <row r="919" spans="1:4" ht="12.75">
      <c r="A919" s="163">
        <v>0.89</v>
      </c>
      <c r="B919" s="164">
        <f t="shared" si="26"/>
        <v>50.13578093357556</v>
      </c>
      <c r="C919" s="165">
        <f t="shared" si="27"/>
        <v>55829.802072476436</v>
      </c>
      <c r="D919" s="145"/>
    </row>
    <row r="920" spans="1:4" ht="12.75">
      <c r="A920" s="163">
        <v>0.891</v>
      </c>
      <c r="B920" s="164">
        <f t="shared" si="26"/>
        <v>50.14072175785346</v>
      </c>
      <c r="C920" s="165">
        <f t="shared" si="27"/>
        <v>55832.90818736203</v>
      </c>
      <c r="D920" s="145"/>
    </row>
    <row r="921" spans="1:4" ht="12.75">
      <c r="A921" s="163">
        <v>0.892</v>
      </c>
      <c r="B921" s="164">
        <f t="shared" si="26"/>
        <v>50.145695271990334</v>
      </c>
      <c r="C921" s="165">
        <f t="shared" si="27"/>
        <v>55836.03792526049</v>
      </c>
      <c r="D921" s="145"/>
    </row>
    <row r="922" spans="1:4" ht="12.75">
      <c r="A922" s="163">
        <v>0.893</v>
      </c>
      <c r="B922" s="164">
        <f t="shared" si="26"/>
        <v>50.15070205683496</v>
      </c>
      <c r="C922" s="165">
        <f t="shared" si="27"/>
        <v>55839.19171234553</v>
      </c>
      <c r="D922" s="145"/>
    </row>
    <row r="923" spans="1:4" ht="12.75">
      <c r="A923" s="163">
        <v>0.894</v>
      </c>
      <c r="B923" s="164">
        <f t="shared" si="26"/>
        <v>50.155742708876176</v>
      </c>
      <c r="C923" s="165">
        <f t="shared" si="27"/>
        <v>55842.36998648745</v>
      </c>
      <c r="D923" s="145"/>
    </row>
    <row r="924" spans="1:4" ht="12.75">
      <c r="A924" s="163">
        <v>0.895</v>
      </c>
      <c r="B924" s="164">
        <f t="shared" si="26"/>
        <v>50.16081784081846</v>
      </c>
      <c r="C924" s="165">
        <f t="shared" si="27"/>
        <v>55845.573197688944</v>
      </c>
      <c r="D924" s="145"/>
    </row>
    <row r="925" spans="1:4" ht="12.75">
      <c r="A925" s="163">
        <v>0.896</v>
      </c>
      <c r="B925" s="164">
        <f t="shared" si="26"/>
        <v>50.16592808218437</v>
      </c>
      <c r="C925" s="165">
        <f t="shared" si="27"/>
        <v>55848.80180854153</v>
      </c>
      <c r="D925" s="145"/>
    </row>
    <row r="926" spans="1:4" ht="12.75">
      <c r="A926" s="163">
        <v>0.897</v>
      </c>
      <c r="B926" s="164">
        <f aca="true" t="shared" si="28" ref="B926:B989">$C$6+NORMSINV($A926)*$C$11*$C$6</f>
        <v>50.17107407994553</v>
      </c>
      <c r="C926" s="165">
        <f aca="true" t="shared" si="29" ref="C926:C989">EPortfolio($C$5+1/252,$B926,$C$7,$C$8,$C$9,,$C$10,$H$7:$L$10,0)</f>
        <v>55852.05629470379</v>
      </c>
      <c r="D926" s="145"/>
    </row>
    <row r="927" spans="1:4" ht="12.75">
      <c r="A927" s="163">
        <v>0.898</v>
      </c>
      <c r="B927" s="164">
        <f t="shared" si="28"/>
        <v>50.17625649918359</v>
      </c>
      <c r="C927" s="165">
        <f t="shared" si="29"/>
        <v>55855.337145402475</v>
      </c>
      <c r="D927" s="145"/>
    </row>
    <row r="928" spans="1:4" ht="12.75">
      <c r="A928" s="163">
        <v>0.899</v>
      </c>
      <c r="B928" s="164">
        <f t="shared" si="28"/>
        <v>50.18147602378304</v>
      </c>
      <c r="C928" s="165">
        <f t="shared" si="29"/>
        <v>55858.64486395803</v>
      </c>
      <c r="D928" s="145"/>
    </row>
    <row r="929" spans="1:4" ht="12.75">
      <c r="A929" s="163">
        <v>0.9</v>
      </c>
      <c r="B929" s="164">
        <f t="shared" si="28"/>
        <v>50.18673335715778</v>
      </c>
      <c r="C929" s="165">
        <f t="shared" si="29"/>
        <v>55861.97996833603</v>
      </c>
      <c r="D929" s="145"/>
    </row>
    <row r="930" spans="1:4" ht="12.75">
      <c r="A930" s="163">
        <v>0.901</v>
      </c>
      <c r="B930" s="164">
        <f t="shared" si="28"/>
        <v>50.19202922301319</v>
      </c>
      <c r="C930" s="165">
        <f t="shared" si="29"/>
        <v>55865.342991725855</v>
      </c>
      <c r="D930" s="145"/>
    </row>
    <row r="931" spans="1:4" ht="12.75">
      <c r="A931" s="163">
        <v>0.902</v>
      </c>
      <c r="B931" s="164">
        <f t="shared" si="28"/>
        <v>50.197364366146225</v>
      </c>
      <c r="C931" s="165">
        <f t="shared" si="29"/>
        <v>55868.734483148306</v>
      </c>
      <c r="D931" s="145"/>
    </row>
    <row r="932" spans="1:4" ht="12.75">
      <c r="A932" s="163">
        <v>0.903</v>
      </c>
      <c r="B932" s="164">
        <f t="shared" si="28"/>
        <v>50.20273955328542</v>
      </c>
      <c r="C932" s="165">
        <f t="shared" si="29"/>
        <v>55872.15500809411</v>
      </c>
      <c r="D932" s="145"/>
    </row>
    <row r="933" spans="1:4" ht="12.75">
      <c r="A933" s="163">
        <v>0.904</v>
      </c>
      <c r="B933" s="164">
        <f t="shared" si="28"/>
        <v>50.208155573973556</v>
      </c>
      <c r="C933" s="165">
        <f t="shared" si="29"/>
        <v>55875.605149195006</v>
      </c>
      <c r="D933" s="145"/>
    </row>
    <row r="934" spans="1:4" ht="12.75">
      <c r="A934" s="163">
        <v>0.905</v>
      </c>
      <c r="B934" s="164">
        <f t="shared" si="28"/>
        <v>50.213613241495445</v>
      </c>
      <c r="C934" s="165">
        <f t="shared" si="29"/>
        <v>55879.08550692947</v>
      </c>
      <c r="D934" s="145"/>
    </row>
    <row r="935" spans="1:4" ht="12.75">
      <c r="A935" s="163">
        <v>0.906</v>
      </c>
      <c r="B935" s="164">
        <f t="shared" si="28"/>
        <v>50.21911339385367</v>
      </c>
      <c r="C935" s="165">
        <f t="shared" si="29"/>
        <v>55882.5967003653</v>
      </c>
      <c r="D935" s="145"/>
    </row>
    <row r="936" spans="1:4" ht="12.75">
      <c r="A936" s="163">
        <v>0.907</v>
      </c>
      <c r="B936" s="164">
        <f t="shared" si="28"/>
        <v>50.22465689479538</v>
      </c>
      <c r="C936" s="165">
        <f t="shared" si="29"/>
        <v>55886.13936794153</v>
      </c>
      <c r="D936" s="145"/>
    </row>
    <row r="937" spans="1:4" ht="12.75">
      <c r="A937" s="163">
        <v>0.908</v>
      </c>
      <c r="B937" s="164">
        <f t="shared" si="28"/>
        <v>50.230244634893324</v>
      </c>
      <c r="C937" s="165">
        <f t="shared" si="29"/>
        <v>55889.71416829184</v>
      </c>
      <c r="D937" s="145"/>
    </row>
    <row r="938" spans="1:4" ht="12.75">
      <c r="A938" s="163">
        <v>0.909</v>
      </c>
      <c r="B938" s="164">
        <f t="shared" si="28"/>
        <v>50.23587753268457</v>
      </c>
      <c r="C938" s="165">
        <f t="shared" si="29"/>
        <v>55893.32178111252</v>
      </c>
      <c r="D938" s="145"/>
    </row>
    <row r="939" spans="1:4" ht="12.75">
      <c r="A939" s="163">
        <v>0.91</v>
      </c>
      <c r="B939" s="164">
        <f t="shared" si="28"/>
        <v>50.24155653587082</v>
      </c>
      <c r="C939" s="165">
        <f t="shared" si="29"/>
        <v>55896.962908077774</v>
      </c>
      <c r="D939" s="145"/>
    </row>
    <row r="940" spans="1:4" ht="12.75">
      <c r="A940" s="163">
        <v>0.911</v>
      </c>
      <c r="B940" s="164">
        <f t="shared" si="28"/>
        <v>50.24728262258418</v>
      </c>
      <c r="C940" s="165">
        <f t="shared" si="29"/>
        <v>55900.63827380542</v>
      </c>
      <c r="D940" s="145"/>
    </row>
    <row r="941" spans="1:4" ht="12.75">
      <c r="A941" s="163">
        <v>0.912</v>
      </c>
      <c r="B941" s="164">
        <f t="shared" si="28"/>
        <v>50.25305680272293</v>
      </c>
      <c r="C941" s="165">
        <f t="shared" si="29"/>
        <v>55904.34862687651</v>
      </c>
      <c r="D941" s="145"/>
    </row>
    <row r="942" spans="1:4" ht="12.75">
      <c r="A942" s="163">
        <v>0.913</v>
      </c>
      <c r="B942" s="164">
        <f t="shared" si="28"/>
        <v>50.25888011936184</v>
      </c>
      <c r="C942" s="165">
        <f t="shared" si="29"/>
        <v>55908.09474091239</v>
      </c>
      <c r="D942" s="145"/>
    </row>
    <row r="943" spans="1:4" ht="12.75">
      <c r="A943" s="163">
        <v>0.914</v>
      </c>
      <c r="B943" s="164">
        <f t="shared" si="28"/>
        <v>50.26475365024221</v>
      </c>
      <c r="C943" s="165">
        <f t="shared" si="29"/>
        <v>55911.877415713294</v>
      </c>
      <c r="D943" s="145"/>
    </row>
    <row r="944" spans="1:4" ht="12.75">
      <c r="A944" s="163">
        <v>0.915</v>
      </c>
      <c r="B944" s="164">
        <f t="shared" si="28"/>
        <v>50.27067850934717</v>
      </c>
      <c r="C944" s="165">
        <f t="shared" si="29"/>
        <v>55915.69747846265</v>
      </c>
      <c r="D944" s="145"/>
    </row>
    <row r="945" spans="1:4" ht="12.75">
      <c r="A945" s="163">
        <v>0.916</v>
      </c>
      <c r="B945" s="164">
        <f t="shared" si="28"/>
        <v>50.27665584856799</v>
      </c>
      <c r="C945" s="165">
        <f t="shared" si="29"/>
        <v>55919.55578500166</v>
      </c>
      <c r="D945" s="145"/>
    </row>
    <row r="946" spans="1:4" ht="12.75">
      <c r="A946" s="163">
        <v>0.917</v>
      </c>
      <c r="B946" s="164">
        <f t="shared" si="28"/>
        <v>50.28268685946805</v>
      </c>
      <c r="C946" s="165">
        <f t="shared" si="29"/>
        <v>55923.45322117937</v>
      </c>
      <c r="D946" s="145"/>
    </row>
    <row r="947" spans="1:4" ht="12.75">
      <c r="A947" s="163">
        <v>0.918</v>
      </c>
      <c r="B947" s="164">
        <f t="shared" si="28"/>
        <v>50.28877277515134</v>
      </c>
      <c r="C947" s="165">
        <f t="shared" si="29"/>
        <v>55927.39070428339</v>
      </c>
      <c r="D947" s="145"/>
    </row>
    <row r="948" spans="1:4" ht="12.75">
      <c r="A948" s="163">
        <v>0.919</v>
      </c>
      <c r="B948" s="164">
        <f t="shared" si="28"/>
        <v>50.29491487224297</v>
      </c>
      <c r="C948" s="165">
        <f t="shared" si="29"/>
        <v>55931.36918455725</v>
      </c>
      <c r="D948" s="145"/>
    </row>
    <row r="949" spans="1:4" ht="12.75">
      <c r="A949" s="163">
        <v>0.92</v>
      </c>
      <c r="B949" s="164">
        <f t="shared" si="28"/>
        <v>50.30111447299007</v>
      </c>
      <c r="C949" s="165">
        <f t="shared" si="29"/>
        <v>55935.38964681096</v>
      </c>
      <c r="D949" s="145"/>
    </row>
    <row r="950" spans="1:4" ht="12.75">
      <c r="A950" s="163">
        <v>0.921</v>
      </c>
      <c r="B950" s="164">
        <f t="shared" si="28"/>
        <v>50.307372947491864</v>
      </c>
      <c r="C950" s="165">
        <f t="shared" si="29"/>
        <v>55939.453112131465</v>
      </c>
      <c r="D950" s="145"/>
    </row>
    <row r="951" spans="1:4" ht="12.75">
      <c r="A951" s="163">
        <v>0.922</v>
      </c>
      <c r="B951" s="164">
        <f t="shared" si="28"/>
        <v>50.313691716068604</v>
      </c>
      <c r="C951" s="165">
        <f t="shared" si="29"/>
        <v>55943.560639700605</v>
      </c>
      <c r="D951" s="145"/>
    </row>
    <row r="952" spans="1:4" ht="12.75">
      <c r="A952" s="163">
        <v>0.923</v>
      </c>
      <c r="B952" s="164">
        <f t="shared" si="28"/>
        <v>50.32007225178007</v>
      </c>
      <c r="C952" s="165">
        <f t="shared" si="29"/>
        <v>55947.71332872909</v>
      </c>
      <c r="D952" s="145"/>
    </row>
    <row r="953" spans="1:4" ht="12.75">
      <c r="A953" s="163">
        <v>0.924</v>
      </c>
      <c r="B953" s="164">
        <f t="shared" si="28"/>
        <v>50.32651608310497</v>
      </c>
      <c r="C953" s="165">
        <f t="shared" si="29"/>
        <v>55951.912320515046</v>
      </c>
      <c r="D953" s="145"/>
    </row>
    <row r="954" spans="1:4" ht="12.75">
      <c r="A954" s="163">
        <v>0.925</v>
      </c>
      <c r="B954" s="164">
        <f t="shared" si="28"/>
        <v>50.33302479679396</v>
      </c>
      <c r="C954" s="165">
        <f t="shared" si="29"/>
        <v>55956.158800637284</v>
      </c>
      <c r="D954" s="145"/>
    </row>
    <row r="955" spans="1:4" ht="12.75">
      <c r="A955" s="163">
        <v>0.926</v>
      </c>
      <c r="B955" s="164">
        <f t="shared" si="28"/>
        <v>50.33960004090988</v>
      </c>
      <c r="C955" s="165">
        <f t="shared" si="29"/>
        <v>55960.454001294</v>
      </c>
      <c r="D955" s="145"/>
    </row>
    <row r="956" spans="1:4" ht="12.75">
      <c r="A956" s="163">
        <v>0.927</v>
      </c>
      <c r="B956" s="164">
        <f t="shared" si="28"/>
        <v>50.346243528070374</v>
      </c>
      <c r="C956" s="165">
        <f t="shared" si="29"/>
        <v>55964.799203798364</v>
      </c>
      <c r="D956" s="145"/>
    </row>
    <row r="957" spans="1:4" ht="12.75">
      <c r="A957" s="163">
        <v>0.928</v>
      </c>
      <c r="B957" s="164">
        <f t="shared" si="28"/>
        <v>50.35295703890914</v>
      </c>
      <c r="C957" s="165">
        <f t="shared" si="29"/>
        <v>55969.19574124434</v>
      </c>
      <c r="D957" s="145"/>
    </row>
    <row r="958" spans="1:4" ht="12.75">
      <c r="A958" s="163">
        <v>0.929</v>
      </c>
      <c r="B958" s="164">
        <f t="shared" si="28"/>
        <v>50.35974242577406</v>
      </c>
      <c r="C958" s="165">
        <f t="shared" si="29"/>
        <v>55973.6450013563</v>
      </c>
      <c r="D958" s="145"/>
    </row>
    <row r="959" spans="1:4" ht="12.75">
      <c r="A959" s="163">
        <v>0.93</v>
      </c>
      <c r="B959" s="164">
        <f t="shared" si="28"/>
        <v>50.36660161668184</v>
      </c>
      <c r="C959" s="165">
        <f t="shared" si="29"/>
        <v>55978.14842953851</v>
      </c>
      <c r="D959" s="145"/>
    </row>
    <row r="960" spans="1:4" ht="12.75">
      <c r="A960" s="163">
        <v>0.931</v>
      </c>
      <c r="B960" s="164">
        <f t="shared" si="28"/>
        <v>50.373536619551</v>
      </c>
      <c r="C960" s="165">
        <f t="shared" si="29"/>
        <v>55982.707532140994</v>
      </c>
      <c r="D960" s="145"/>
    </row>
    <row r="961" spans="1:4" ht="12.75">
      <c r="A961" s="163">
        <v>0.932</v>
      </c>
      <c r="B961" s="164">
        <f t="shared" si="28"/>
        <v>50.38054952673711</v>
      </c>
      <c r="C961" s="165">
        <f t="shared" si="29"/>
        <v>55987.323879961135</v>
      </c>
      <c r="D961" s="145"/>
    </row>
    <row r="962" spans="1:4" ht="12.75">
      <c r="A962" s="163">
        <v>0.933</v>
      </c>
      <c r="B962" s="164">
        <f t="shared" si="28"/>
        <v>50.3876425198968</v>
      </c>
      <c r="C962" s="165">
        <f t="shared" si="29"/>
        <v>55991.99911200118</v>
      </c>
      <c r="D962" s="145"/>
    </row>
    <row r="963" spans="1:4" ht="12.75">
      <c r="A963" s="163">
        <v>0.934</v>
      </c>
      <c r="B963" s="164">
        <f t="shared" si="28"/>
        <v>50.39481787520944</v>
      </c>
      <c r="C963" s="165">
        <f t="shared" si="29"/>
        <v>55996.73493950489</v>
      </c>
      <c r="D963" s="145"/>
    </row>
    <row r="964" spans="1:4" ht="12.75">
      <c r="A964" s="163">
        <v>0.935</v>
      </c>
      <c r="B964" s="164">
        <f t="shared" si="28"/>
        <v>50.402077968988934</v>
      </c>
      <c r="C964" s="165">
        <f t="shared" si="29"/>
        <v>56001.53315029858</v>
      </c>
      <c r="D964" s="145"/>
    </row>
    <row r="965" spans="1:4" ht="12.75">
      <c r="A965" s="163">
        <v>0.936</v>
      </c>
      <c r="B965" s="164">
        <f t="shared" si="28"/>
        <v>50.40942528372116</v>
      </c>
      <c r="C965" s="165">
        <f t="shared" si="29"/>
        <v>56006.39561346441</v>
      </c>
      <c r="D965" s="145"/>
    </row>
    <row r="966" spans="1:4" ht="12.75">
      <c r="A966" s="163">
        <v>0.937</v>
      </c>
      <c r="B966" s="164">
        <f t="shared" si="28"/>
        <v>50.41686241456659</v>
      </c>
      <c r="C966" s="165">
        <f t="shared" si="29"/>
        <v>56011.324284377355</v>
      </c>
      <c r="D966" s="145"/>
    </row>
    <row r="967" spans="1:4" ht="12.75">
      <c r="A967" s="163">
        <v>0.9380000000000001</v>
      </c>
      <c r="B967" s="164">
        <f t="shared" si="28"/>
        <v>50.424392076371895</v>
      </c>
      <c r="C967" s="165">
        <f t="shared" si="29"/>
        <v>56016.321210139904</v>
      </c>
      <c r="D967" s="145"/>
    </row>
    <row r="968" spans="1:4" ht="12.75">
      <c r="A968" s="163">
        <v>0.9390000000000001</v>
      </c>
      <c r="B968" s="164">
        <f t="shared" si="28"/>
        <v>50.432017111239574</v>
      </c>
      <c r="C968" s="165">
        <f t="shared" si="29"/>
        <v>56021.38853545356</v>
      </c>
      <c r="D968" s="145"/>
    </row>
    <row r="969" spans="1:4" ht="12.75">
      <c r="A969" s="163">
        <v>0.94</v>
      </c>
      <c r="B969" s="164">
        <f t="shared" si="28"/>
        <v>50.43974049670963</v>
      </c>
      <c r="C969" s="165">
        <f t="shared" si="29"/>
        <v>56026.5285089694</v>
      </c>
      <c r="D969" s="145"/>
    </row>
    <row r="970" spans="1:4" ht="12.75">
      <c r="A970" s="163">
        <v>0.9410000000000001</v>
      </c>
      <c r="B970" s="164">
        <f t="shared" si="28"/>
        <v>50.44756535461427</v>
      </c>
      <c r="C970" s="165">
        <f t="shared" si="29"/>
        <v>56031.74349016602</v>
      </c>
      <c r="D970" s="145"/>
    </row>
    <row r="971" spans="1:4" ht="12.75">
      <c r="A971" s="163">
        <v>0.9420000000000001</v>
      </c>
      <c r="B971" s="164">
        <f t="shared" si="28"/>
        <v>50.45549496067325</v>
      </c>
      <c r="C971" s="165">
        <f t="shared" si="29"/>
        <v>56037.03595680809</v>
      </c>
      <c r="D971" s="145"/>
    </row>
    <row r="972" spans="1:4" ht="12.75">
      <c r="A972" s="163">
        <v>0.9430000000000001</v>
      </c>
      <c r="B972" s="164">
        <f t="shared" si="28"/>
        <v>50.46353275490597</v>
      </c>
      <c r="C972" s="165">
        <f t="shared" si="29"/>
        <v>56042.40851304579</v>
      </c>
      <c r="D972" s="145"/>
    </row>
    <row r="973" spans="1:4" ht="12.75">
      <c r="A973" s="163">
        <v>0.9440000000000001</v>
      </c>
      <c r="B973" s="164">
        <f t="shared" si="28"/>
        <v>50.4716823529454</v>
      </c>
      <c r="C973" s="165">
        <f t="shared" si="29"/>
        <v>56047.8638982222</v>
      </c>
      <c r="D973" s="145"/>
    </row>
    <row r="974" spans="1:4" ht="12.75">
      <c r="A974" s="163">
        <v>0.945</v>
      </c>
      <c r="B974" s="164">
        <f t="shared" si="28"/>
        <v>50.47994755834983</v>
      </c>
      <c r="C974" s="165">
        <f t="shared" si="29"/>
        <v>56053.40499646486</v>
      </c>
      <c r="D974" s="145"/>
    </row>
    <row r="975" spans="1:4" ht="12.75">
      <c r="A975" s="163">
        <v>0.9460000000000001</v>
      </c>
      <c r="B975" s="164">
        <f t="shared" si="28"/>
        <v>50.48833237602028</v>
      </c>
      <c r="C975" s="165">
        <f t="shared" si="29"/>
        <v>56059.034847146606</v>
      </c>
      <c r="D975" s="145"/>
    </row>
    <row r="976" spans="1:4" ht="12.75">
      <c r="A976" s="163">
        <v>0.9470000000000001</v>
      </c>
      <c r="B976" s="164">
        <f t="shared" si="28"/>
        <v>50.49684102684552</v>
      </c>
      <c r="C976" s="165">
        <f t="shared" si="29"/>
        <v>56064.756656312406</v>
      </c>
      <c r="D976" s="145"/>
    </row>
    <row r="977" spans="1:4" ht="12.75">
      <c r="A977" s="163">
        <v>0.9480000000000001</v>
      </c>
      <c r="B977" s="164">
        <f t="shared" si="28"/>
        <v>50.505477963712586</v>
      </c>
      <c r="C977" s="165">
        <f t="shared" si="29"/>
        <v>56070.57380918148</v>
      </c>
      <c r="D977" s="145"/>
    </row>
    <row r="978" spans="1:4" ht="12.75">
      <c r="A978" s="163">
        <v>0.9490000000000001</v>
      </c>
      <c r="B978" s="164">
        <f t="shared" si="28"/>
        <v>50.514247889039176</v>
      </c>
      <c r="C978" s="165">
        <f t="shared" si="29"/>
        <v>56076.48988384907</v>
      </c>
      <c r="D978" s="145"/>
    </row>
    <row r="979" spans="1:4" ht="12.75">
      <c r="A979" s="163">
        <v>0.95</v>
      </c>
      <c r="B979" s="164">
        <f t="shared" si="28"/>
        <v>50.52315577400567</v>
      </c>
      <c r="C979" s="165">
        <f t="shared" si="29"/>
        <v>56082.50866632846</v>
      </c>
      <c r="D979" s="145"/>
    </row>
    <row r="980" spans="1:4" ht="12.75">
      <c r="A980" s="163">
        <v>0.9510000000000001</v>
      </c>
      <c r="B980" s="164">
        <f t="shared" si="28"/>
        <v>50.5322068796893</v>
      </c>
      <c r="C980" s="165">
        <f t="shared" si="29"/>
        <v>56088.63416709457</v>
      </c>
      <c r="D980" s="145"/>
    </row>
    <row r="981" spans="1:4" ht="12.75">
      <c r="A981" s="163">
        <v>0.9520000000000001</v>
      </c>
      <c r="B981" s="164">
        <f t="shared" si="28"/>
        <v>50.54140678033178</v>
      </c>
      <c r="C981" s="165">
        <f t="shared" si="29"/>
        <v>56094.87063931327</v>
      </c>
      <c r="D981" s="145"/>
    </row>
    <row r="982" spans="1:4" ht="12.75">
      <c r="A982" s="163">
        <v>0.9530000000000001</v>
      </c>
      <c r="B982" s="164">
        <f t="shared" si="28"/>
        <v>50.55076138900548</v>
      </c>
      <c r="C982" s="165">
        <f t="shared" si="29"/>
        <v>56101.222598966735</v>
      </c>
      <c r="D982" s="145"/>
    </row>
    <row r="983" spans="1:4" ht="12.75">
      <c r="A983" s="163">
        <v>0.9540000000000001</v>
      </c>
      <c r="B983" s="164">
        <f t="shared" si="28"/>
        <v>50.560276985982156</v>
      </c>
      <c r="C983" s="165">
        <f t="shared" si="29"/>
        <v>56107.69484711784</v>
      </c>
      <c r="D983" s="145"/>
    </row>
    <row r="984" spans="1:4" ht="12.75">
      <c r="A984" s="163">
        <v>0.955</v>
      </c>
      <c r="B984" s="164">
        <f t="shared" si="28"/>
        <v>50.56996025015494</v>
      </c>
      <c r="C984" s="165">
        <f t="shared" si="29"/>
        <v>56114.29249459256</v>
      </c>
      <c r="D984" s="145"/>
    </row>
    <row r="985" spans="1:4" ht="12.75">
      <c r="A985" s="163">
        <v>0.9560000000000001</v>
      </c>
      <c r="B985" s="164">
        <f t="shared" si="28"/>
        <v>50.57981829391822</v>
      </c>
      <c r="C985" s="165">
        <f t="shared" si="29"/>
        <v>56121.02098940361</v>
      </c>
      <c r="D985" s="145"/>
    </row>
    <row r="986" spans="1:4" ht="12.75">
      <c r="A986" s="163">
        <v>0.9570000000000001</v>
      </c>
      <c r="B986" s="164">
        <f t="shared" si="28"/>
        <v>50.589858701974336</v>
      </c>
      <c r="C986" s="165">
        <f t="shared" si="29"/>
        <v>56127.886147289755</v>
      </c>
      <c r="D986" s="145"/>
    </row>
    <row r="987" spans="1:4" ht="12.75">
      <c r="A987" s="163">
        <v>0.9580000000000001</v>
      </c>
      <c r="B987" s="164">
        <f t="shared" si="28"/>
        <v>50.60008957461243</v>
      </c>
      <c r="C987" s="165">
        <f t="shared" si="29"/>
        <v>56134.89418580673</v>
      </c>
      <c r="D987" s="145"/>
    </row>
    <row r="988" spans="1:4" ht="12.75">
      <c r="A988" s="163">
        <v>0.9590000000000001</v>
      </c>
      <c r="B988" s="164">
        <f t="shared" si="28"/>
        <v>50.61051957609513</v>
      </c>
      <c r="C988" s="165">
        <f t="shared" si="29"/>
        <v>56142.051762478215</v>
      </c>
      <c r="D988" s="145"/>
    </row>
    <row r="989" spans="1:4" ht="12.75">
      <c r="A989" s="163">
        <v>0.96</v>
      </c>
      <c r="B989" s="164">
        <f t="shared" si="28"/>
        <v>50.62115798889728</v>
      </c>
      <c r="C989" s="165">
        <f t="shared" si="29"/>
        <v>56149.36601760315</v>
      </c>
      <c r="D989" s="145"/>
    </row>
    <row r="990" spans="1:4" ht="12.75">
      <c r="A990" s="163">
        <v>0.961</v>
      </c>
      <c r="B990" s="164">
        <f aca="true" t="shared" si="30" ref="B990:B1028">$C$6+NORMSINV($A990)*$C$11*$C$6</f>
        <v>50.632014774671106</v>
      </c>
      <c r="C990" s="165">
        <f aca="true" t="shared" si="31" ref="C990:C1028">EPortfolio($C$5+1/252,$B990,$C$7,$C$8,$C$9,,$C$10,$H$7:$L$10,0)</f>
        <v>56156.84462242011</v>
      </c>
      <c r="D990" s="145"/>
    </row>
    <row r="991" spans="1:4" ht="12.75">
      <c r="A991" s="163">
        <v>0.962</v>
      </c>
      <c r="B991" s="164">
        <f t="shared" si="30"/>
        <v>50.64310064296856</v>
      </c>
      <c r="C991" s="165">
        <f t="shared" si="31"/>
        <v>56164.49583345568</v>
      </c>
      <c r="D991" s="145"/>
    </row>
    <row r="992" spans="1:4" ht="12.75">
      <c r="A992" s="163">
        <v>0.963</v>
      </c>
      <c r="B992" s="164">
        <f t="shared" si="30"/>
        <v>50.654427128941954</v>
      </c>
      <c r="C992" s="165">
        <f t="shared" si="31"/>
        <v>56172.32855403771</v>
      </c>
      <c r="D992" s="145"/>
    </row>
    <row r="993" spans="1:4" ht="12.75">
      <c r="A993" s="163">
        <v>0.964</v>
      </c>
      <c r="B993" s="164">
        <f t="shared" si="30"/>
        <v>50.66600668147431</v>
      </c>
      <c r="C993" s="165">
        <f t="shared" si="31"/>
        <v>56180.35240414034</v>
      </c>
      <c r="D993" s="145"/>
    </row>
    <row r="994" spans="1:4" ht="12.75">
      <c r="A994" s="163">
        <v>0.965</v>
      </c>
      <c r="B994" s="164">
        <f t="shared" si="30"/>
        <v>50.67785276347369</v>
      </c>
      <c r="C994" s="165">
        <f t="shared" si="31"/>
        <v>56188.577799956314</v>
      </c>
      <c r="D994" s="145"/>
    </row>
    <row r="995" spans="1:4" ht="12.75">
      <c r="A995" s="163">
        <v>0.966</v>
      </c>
      <c r="B995" s="164">
        <f t="shared" si="30"/>
        <v>50.68997996641247</v>
      </c>
      <c r="C995" s="165">
        <f t="shared" si="31"/>
        <v>56197.01604487317</v>
      </c>
      <c r="D995" s="145"/>
    </row>
    <row r="996" spans="1:4" ht="12.75">
      <c r="A996" s="163">
        <v>0.967</v>
      </c>
      <c r="B996" s="164">
        <f t="shared" si="30"/>
        <v>50.70240414162157</v>
      </c>
      <c r="C996" s="165">
        <f t="shared" si="31"/>
        <v>56205.67943387761</v>
      </c>
      <c r="D996" s="145"/>
    </row>
    <row r="997" spans="1:4" ht="12.75">
      <c r="A997" s="163">
        <v>0.968</v>
      </c>
      <c r="B997" s="164">
        <f t="shared" si="30"/>
        <v>50.715142551382975</v>
      </c>
      <c r="C997" s="165">
        <f t="shared" si="31"/>
        <v>56214.581373845</v>
      </c>
      <c r="D997" s="145"/>
    </row>
    <row r="998" spans="1:4" ht="12.75">
      <c r="A998" s="163">
        <v>0.969</v>
      </c>
      <c r="B998" s="164">
        <f t="shared" si="30"/>
        <v>50.72821404353099</v>
      </c>
      <c r="C998" s="165">
        <f t="shared" si="31"/>
        <v>56223.736522713305</v>
      </c>
      <c r="D998" s="145"/>
    </row>
    <row r="999" spans="1:4" ht="12.75">
      <c r="A999" s="163">
        <v>0.97</v>
      </c>
      <c r="B999" s="164">
        <f t="shared" si="30"/>
        <v>50.741639254112826</v>
      </c>
      <c r="C999" s="165">
        <f t="shared" si="31"/>
        <v>56233.16095122367</v>
      </c>
      <c r="D999" s="145"/>
    </row>
    <row r="1000" spans="1:4" ht="12.75">
      <c r="A1000" s="163">
        <v>0.971</v>
      </c>
      <c r="B1000" s="164">
        <f t="shared" si="30"/>
        <v>50.75544084372434</v>
      </c>
      <c r="C1000" s="165">
        <f t="shared" si="31"/>
        <v>56242.87233177773</v>
      </c>
      <c r="D1000" s="145"/>
    </row>
    <row r="1001" spans="1:4" ht="12.75">
      <c r="A1001" s="163">
        <v>0.972</v>
      </c>
      <c r="B1001" s="164">
        <f t="shared" si="30"/>
        <v>50.769643774497986</v>
      </c>
      <c r="C1001" s="165">
        <f t="shared" si="31"/>
        <v>56252.890160070936</v>
      </c>
      <c r="D1001" s="145"/>
    </row>
    <row r="1002" spans="1:4" ht="12.75">
      <c r="A1002" s="163">
        <v>0.973</v>
      </c>
      <c r="B1002" s="164">
        <f t="shared" si="30"/>
        <v>50.78427563647207</v>
      </c>
      <c r="C1002" s="165">
        <f t="shared" si="31"/>
        <v>56263.236016592055</v>
      </c>
      <c r="D1002" s="145"/>
    </row>
    <row r="1003" spans="1:4" ht="12.75">
      <c r="A1003" s="163">
        <v>0.974</v>
      </c>
      <c r="B1003" s="164">
        <f t="shared" si="30"/>
        <v>50.79936703434603</v>
      </c>
      <c r="C1003" s="165">
        <f t="shared" si="31"/>
        <v>56273.93387693796</v>
      </c>
      <c r="D1003" s="145"/>
    </row>
    <row r="1004" spans="1:4" ht="12.75">
      <c r="A1004" s="163">
        <v>0.975</v>
      </c>
      <c r="B1004" s="164">
        <f t="shared" si="30"/>
        <v>50.81495204860768</v>
      </c>
      <c r="C1004" s="165">
        <f t="shared" si="31"/>
        <v>56285.010482333375</v>
      </c>
      <c r="D1004" s="145"/>
    </row>
    <row r="1005" spans="1:4" ht="12.75">
      <c r="A1005" s="163">
        <v>0.976</v>
      </c>
      <c r="B1005" s="164">
        <f t="shared" si="30"/>
        <v>50.83106878896204</v>
      </c>
      <c r="C1005" s="165">
        <f t="shared" si="31"/>
        <v>56296.495784976054</v>
      </c>
      <c r="D1005" s="145"/>
    </row>
    <row r="1006" spans="1:4" ht="12.75">
      <c r="A1006" s="163">
        <v>0.977</v>
      </c>
      <c r="B1006" s="164">
        <f t="shared" si="30"/>
        <v>50.84776006326311</v>
      </c>
      <c r="C1006" s="165">
        <f t="shared" si="31"/>
        <v>56308.42348715454</v>
      </c>
      <c r="D1006" s="145"/>
    </row>
    <row r="1007" spans="1:4" ht="12.75">
      <c r="A1007" s="163">
        <v>0.978</v>
      </c>
      <c r="B1007" s="164">
        <f t="shared" si="30"/>
        <v>50.865074192275046</v>
      </c>
      <c r="C1007" s="165">
        <f t="shared" si="31"/>
        <v>56320.831698939735</v>
      </c>
      <c r="D1007" s="145"/>
    </row>
    <row r="1008" spans="1:4" ht="12.75">
      <c r="A1008" s="163">
        <v>0.979</v>
      </c>
      <c r="B1008" s="164">
        <f t="shared" si="30"/>
        <v>50.88306601033688</v>
      </c>
      <c r="C1008" s="165">
        <f t="shared" si="31"/>
        <v>56333.76374727454</v>
      </c>
      <c r="D1008" s="145"/>
    </row>
    <row r="1009" spans="1:4" ht="12.75">
      <c r="A1009" s="163">
        <v>0.98</v>
      </c>
      <c r="B1009" s="164">
        <f t="shared" si="30"/>
        <v>50.90179810551557</v>
      </c>
      <c r="C1009" s="165">
        <f t="shared" si="31"/>
        <v>56347.269180420735</v>
      </c>
      <c r="D1009" s="145"/>
    </row>
    <row r="1010" spans="1:4" ht="12.75">
      <c r="A1010" s="163">
        <v>0.981</v>
      </c>
      <c r="B1010" s="164">
        <f t="shared" si="30"/>
        <v>50.921342371826384</v>
      </c>
      <c r="C1010" s="165">
        <f t="shared" si="31"/>
        <v>56361.40502740352</v>
      </c>
      <c r="D1010" s="145"/>
    </row>
    <row r="1011" spans="1:4" ht="12.75">
      <c r="A1011" s="163">
        <v>0.982</v>
      </c>
      <c r="B1011" s="164">
        <f t="shared" si="30"/>
        <v>50.9417819732216</v>
      </c>
      <c r="C1011" s="165">
        <f t="shared" si="31"/>
        <v>56376.23739452086</v>
      </c>
      <c r="D1011" s="145"/>
    </row>
    <row r="1012" spans="1:4" ht="12.75">
      <c r="A1012" s="163">
        <v>0.983</v>
      </c>
      <c r="B1012" s="164">
        <f t="shared" si="30"/>
        <v>50.96321385844018</v>
      </c>
      <c r="C1012" s="165">
        <f t="shared" si="31"/>
        <v>56391.84351361571</v>
      </c>
      <c r="D1012" s="145"/>
    </row>
    <row r="1013" spans="1:4" ht="12.75">
      <c r="A1013" s="163">
        <v>0.984</v>
      </c>
      <c r="B1013" s="164">
        <f t="shared" si="30"/>
        <v>50.985752024108415</v>
      </c>
      <c r="C1013" s="165">
        <f t="shared" si="31"/>
        <v>56408.31440518607</v>
      </c>
      <c r="D1013" s="145"/>
    </row>
    <row r="1014" spans="1:4" ht="12.75">
      <c r="A1014" s="163">
        <v>0.985</v>
      </c>
      <c r="B1014" s="164">
        <f t="shared" si="30"/>
        <v>51.00953181156805</v>
      </c>
      <c r="C1014" s="165">
        <f t="shared" si="31"/>
        <v>56425.75839264476</v>
      </c>
      <c r="D1014" s="145"/>
    </row>
    <row r="1015" spans="1:4" ht="12.75">
      <c r="A1015" s="163">
        <v>0.986</v>
      </c>
      <c r="B1015" s="164">
        <f t="shared" si="30"/>
        <v>51.03471565912385</v>
      </c>
      <c r="C1015" s="165">
        <f t="shared" si="31"/>
        <v>56444.30581752002</v>
      </c>
      <c r="D1015" s="145"/>
    </row>
    <row r="1016" spans="1:4" ht="12.75">
      <c r="A1016" s="163">
        <v>0.987</v>
      </c>
      <c r="B1016" s="164">
        <f t="shared" si="30"/>
        <v>51.06150094758242</v>
      </c>
      <c r="C1016" s="165">
        <f t="shared" si="31"/>
        <v>56464.11548585982</v>
      </c>
      <c r="D1016" s="145"/>
    </row>
    <row r="1017" spans="1:4" ht="12.75">
      <c r="A1017" s="163">
        <v>0.988</v>
      </c>
      <c r="B1017" s="164">
        <f t="shared" si="30"/>
        <v>51.090130930244584</v>
      </c>
      <c r="C1017" s="165">
        <f t="shared" si="31"/>
        <v>56485.38367169856</v>
      </c>
      <c r="D1017" s="145"/>
    </row>
    <row r="1018" spans="1:4" ht="12.75">
      <c r="A1018" s="163">
        <v>0.989</v>
      </c>
      <c r="B1018" s="164">
        <f t="shared" si="30"/>
        <v>51.12091033547953</v>
      </c>
      <c r="C1018" s="165">
        <f t="shared" si="31"/>
        <v>56508.357004099635</v>
      </c>
      <c r="D1018" s="145"/>
    </row>
    <row r="1019" spans="1:4" ht="12.75">
      <c r="A1019" s="163">
        <v>0.99</v>
      </c>
      <c r="B1019" s="164">
        <f t="shared" si="30"/>
        <v>51.154228278207555</v>
      </c>
      <c r="C1019" s="165">
        <f t="shared" si="31"/>
        <v>56533.35144559874</v>
      </c>
      <c r="D1019" s="145"/>
    </row>
    <row r="1020" spans="1:4" ht="12.75">
      <c r="A1020" s="163">
        <v>0.991</v>
      </c>
      <c r="B1020" s="164">
        <f t="shared" si="30"/>
        <v>51.190593041220275</v>
      </c>
      <c r="C1020" s="165">
        <f t="shared" si="31"/>
        <v>56560.78119244568</v>
      </c>
      <c r="D1020" s="145"/>
    </row>
    <row r="1021" spans="1:4" ht="12.75">
      <c r="A1021" s="163">
        <v>0.992</v>
      </c>
      <c r="B1021" s="164">
        <f t="shared" si="30"/>
        <v>51.2306870122548</v>
      </c>
      <c r="C1021" s="165">
        <f t="shared" si="31"/>
        <v>56591.204476690706</v>
      </c>
      <c r="D1021" s="145"/>
    </row>
    <row r="1022" spans="1:4" ht="12.75">
      <c r="A1022" s="163">
        <v>0.993</v>
      </c>
      <c r="B1022" s="164">
        <f t="shared" si="30"/>
        <v>51.27545774269347</v>
      </c>
      <c r="C1022" s="165">
        <f t="shared" si="31"/>
        <v>56625.39976475952</v>
      </c>
      <c r="D1022" s="145"/>
    </row>
    <row r="1023" spans="1:4" ht="12.75">
      <c r="A1023" s="163">
        <v>0.994</v>
      </c>
      <c r="B1023" s="164">
        <f t="shared" si="30"/>
        <v>51.32627820222192</v>
      </c>
      <c r="C1023" s="165">
        <f t="shared" si="31"/>
        <v>56664.50041104856</v>
      </c>
      <c r="D1023" s="145"/>
    </row>
    <row r="1024" spans="1:4" ht="12.75">
      <c r="A1024" s="163">
        <v>0.995</v>
      </c>
      <c r="B1024" s="164">
        <f t="shared" si="30"/>
        <v>51.38525131493008</v>
      </c>
      <c r="C1024" s="165">
        <f t="shared" si="31"/>
        <v>56710.251730184194</v>
      </c>
      <c r="D1024" s="145"/>
    </row>
    <row r="1025" spans="1:4" ht="12.75">
      <c r="A1025" s="163">
        <v>0.996</v>
      </c>
      <c r="B1025" s="164">
        <f t="shared" si="30"/>
        <v>51.45585100995222</v>
      </c>
      <c r="C1025" s="165">
        <f t="shared" si="31"/>
        <v>56765.55502997172</v>
      </c>
      <c r="D1025" s="145"/>
    </row>
    <row r="1026" spans="1:4" ht="12.75">
      <c r="A1026" s="163">
        <v>0.997</v>
      </c>
      <c r="B1026" s="164">
        <f t="shared" si="30"/>
        <v>51.544481171070984</v>
      </c>
      <c r="C1026" s="165">
        <f t="shared" si="31"/>
        <v>56835.79907015774</v>
      </c>
      <c r="D1026" s="145"/>
    </row>
    <row r="1027" spans="1:4" ht="12.75">
      <c r="A1027" s="163">
        <v>0.998</v>
      </c>
      <c r="B1027" s="164">
        <f t="shared" si="30"/>
        <v>51.66521506813373</v>
      </c>
      <c r="C1027" s="165">
        <f t="shared" si="31"/>
        <v>56932.940596118984</v>
      </c>
      <c r="D1027" s="145"/>
    </row>
    <row r="1028" spans="1:4" ht="13.5" thickBot="1">
      <c r="A1028" s="166">
        <v>0.999</v>
      </c>
      <c r="B1028" s="167">
        <f t="shared" si="30"/>
        <v>51.861595161438174</v>
      </c>
      <c r="C1028" s="168">
        <f t="shared" si="31"/>
        <v>57094.49315255334</v>
      </c>
      <c r="D1028" s="154"/>
    </row>
  </sheetData>
  <sheetProtection/>
  <mergeCells count="4">
    <mergeCell ref="A1:J1"/>
    <mergeCell ref="A2:J2"/>
    <mergeCell ref="A3:J3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223"/>
  <sheetViews>
    <sheetView zoomScalePageLayoutView="0" workbookViewId="0" topLeftCell="A55">
      <selection activeCell="A59" sqref="A59"/>
    </sheetView>
  </sheetViews>
  <sheetFormatPr defaultColWidth="9.140625" defaultRowHeight="12.75"/>
  <cols>
    <col min="1" max="1" width="31.140625" style="63" bestFit="1" customWidth="1"/>
    <col min="2" max="2" width="7.00390625" style="63" bestFit="1" customWidth="1"/>
    <col min="3" max="3" width="10.421875" style="63" bestFit="1" customWidth="1"/>
    <col min="4" max="4" width="25.140625" style="63" bestFit="1" customWidth="1"/>
    <col min="5" max="5" width="21.7109375" style="63" bestFit="1" customWidth="1"/>
    <col min="6" max="6" width="25.8515625" style="63" bestFit="1" customWidth="1"/>
    <col min="7" max="7" width="32.00390625" style="63" bestFit="1" customWidth="1"/>
    <col min="8" max="8" width="11.140625" style="63" bestFit="1" customWidth="1"/>
    <col min="9" max="9" width="8.8515625" style="63" bestFit="1" customWidth="1"/>
    <col min="10" max="10" width="6.57421875" style="63" bestFit="1" customWidth="1"/>
    <col min="11" max="11" width="6.28125" style="63" customWidth="1"/>
    <col min="12" max="12" width="6.28125" style="63" bestFit="1" customWidth="1"/>
    <col min="13" max="13" width="5.57421875" style="63" customWidth="1"/>
    <col min="14" max="14" width="12.421875" style="63" customWidth="1"/>
    <col min="15" max="15" width="12.00390625" style="63" bestFit="1" customWidth="1"/>
    <col min="16" max="16" width="9.00390625" style="63" bestFit="1" customWidth="1"/>
    <col min="17" max="17" width="9.140625" style="63" customWidth="1"/>
    <col min="18" max="18" width="7.57421875" style="63" bestFit="1" customWidth="1"/>
    <col min="19" max="19" width="12.00390625" style="63" bestFit="1" customWidth="1"/>
    <col min="20" max="20" width="9.140625" style="63" customWidth="1"/>
    <col min="21" max="21" width="7.00390625" style="63" bestFit="1" customWidth="1"/>
    <col min="22" max="22" width="12.00390625" style="63" bestFit="1" customWidth="1"/>
    <col min="23" max="16384" width="9.140625" style="63" customWidth="1"/>
  </cols>
  <sheetData>
    <row r="1" spans="1:22" ht="25.5">
      <c r="A1" s="26" t="s">
        <v>25</v>
      </c>
      <c r="B1" s="63">
        <v>3</v>
      </c>
      <c r="C1" s="27" t="s">
        <v>26</v>
      </c>
      <c r="D1" s="26" t="s">
        <v>27</v>
      </c>
      <c r="H1" s="26" t="s">
        <v>28</v>
      </c>
      <c r="N1" s="28" t="s">
        <v>133</v>
      </c>
      <c r="P1"/>
      <c r="R1"/>
      <c r="S1"/>
      <c r="T1"/>
      <c r="U1"/>
      <c r="V1"/>
    </row>
    <row r="2" spans="1:22" ht="12.75">
      <c r="A2" s="29" t="s">
        <v>142</v>
      </c>
      <c r="C2" s="63">
        <v>2</v>
      </c>
      <c r="D2" s="63" t="s">
        <v>176</v>
      </c>
      <c r="E2" s="63" t="s">
        <v>178</v>
      </c>
      <c r="H2" s="29" t="s">
        <v>29</v>
      </c>
      <c r="I2" s="63" t="str">
        <f aca="true" t="shared" si="0" ref="I2:I16">IF($B$18=2,"0.0000","0.00")</f>
        <v>0.00</v>
      </c>
      <c r="N2" s="63">
        <v>0</v>
      </c>
      <c r="O2" s="63">
        <v>0.008294485851525531</v>
      </c>
      <c r="P2"/>
      <c r="R2"/>
      <c r="S2"/>
      <c r="T2"/>
      <c r="U2"/>
      <c r="V2"/>
    </row>
    <row r="3" spans="1:22" ht="12.75">
      <c r="A3" s="63" t="s">
        <v>30</v>
      </c>
      <c r="C3" s="63">
        <v>3</v>
      </c>
      <c r="D3" s="63" t="s">
        <v>176</v>
      </c>
      <c r="E3" s="63" t="s">
        <v>178</v>
      </c>
      <c r="F3" s="63" t="s">
        <v>21</v>
      </c>
      <c r="H3" s="29" t="s">
        <v>29</v>
      </c>
      <c r="I3" s="63" t="str">
        <f t="shared" si="0"/>
        <v>0.00</v>
      </c>
      <c r="J3" s="63" t="s">
        <v>31</v>
      </c>
      <c r="N3" s="63">
        <v>1</v>
      </c>
      <c r="O3" s="63">
        <v>0.008294485851525531</v>
      </c>
      <c r="P3"/>
      <c r="R3"/>
      <c r="S3"/>
      <c r="T3"/>
      <c r="U3"/>
      <c r="V3"/>
    </row>
    <row r="4" spans="1:22" ht="12.75">
      <c r="A4" s="29" t="s">
        <v>32</v>
      </c>
      <c r="C4" s="63">
        <v>3</v>
      </c>
      <c r="D4" s="63" t="s">
        <v>176</v>
      </c>
      <c r="E4" s="63" t="s">
        <v>178</v>
      </c>
      <c r="F4" s="63" t="s">
        <v>21</v>
      </c>
      <c r="H4" s="29" t="s">
        <v>29</v>
      </c>
      <c r="I4" s="63" t="str">
        <f t="shared" si="0"/>
        <v>0.00</v>
      </c>
      <c r="J4" s="63" t="s">
        <v>31</v>
      </c>
      <c r="N4" s="63">
        <v>1.0001</v>
      </c>
      <c r="O4" s="63">
        <v>0.009985382280632072</v>
      </c>
      <c r="P4"/>
      <c r="R4"/>
      <c r="S4"/>
      <c r="T4"/>
      <c r="U4"/>
      <c r="V4"/>
    </row>
    <row r="5" spans="1:22" ht="12.75">
      <c r="A5" s="63" t="s">
        <v>33</v>
      </c>
      <c r="C5" s="63">
        <v>4</v>
      </c>
      <c r="D5" s="29" t="s">
        <v>177</v>
      </c>
      <c r="E5" s="63" t="s">
        <v>178</v>
      </c>
      <c r="F5" s="29" t="s">
        <v>6</v>
      </c>
      <c r="G5" s="63" t="s">
        <v>7</v>
      </c>
      <c r="H5" s="29" t="s">
        <v>29</v>
      </c>
      <c r="I5" s="63" t="str">
        <f t="shared" si="0"/>
        <v>0.00</v>
      </c>
      <c r="J5" s="29" t="s">
        <v>29</v>
      </c>
      <c r="K5" s="63" t="str">
        <f>IF($B$18=2,"0.0000","0.00")</f>
        <v>0.00</v>
      </c>
      <c r="N5" s="63">
        <v>2</v>
      </c>
      <c r="O5" s="63">
        <v>0.009985382280632072</v>
      </c>
      <c r="P5"/>
      <c r="R5"/>
      <c r="S5"/>
      <c r="T5"/>
      <c r="U5"/>
      <c r="V5"/>
    </row>
    <row r="6" spans="1:22" ht="12.75">
      <c r="A6" s="63" t="s">
        <v>34</v>
      </c>
      <c r="C6" s="63">
        <v>3</v>
      </c>
      <c r="D6" s="63" t="s">
        <v>176</v>
      </c>
      <c r="E6" s="63" t="s">
        <v>178</v>
      </c>
      <c r="F6" s="63" t="s">
        <v>35</v>
      </c>
      <c r="H6" s="29" t="s">
        <v>29</v>
      </c>
      <c r="I6" s="63" t="str">
        <f t="shared" si="0"/>
        <v>0.00</v>
      </c>
      <c r="J6" s="63" t="str">
        <f>IF($B$18=2,"0.0000","0.00")</f>
        <v>0.00</v>
      </c>
      <c r="N6" s="63">
        <v>2.0001</v>
      </c>
      <c r="O6" s="63">
        <v>0.011741583125227014</v>
      </c>
      <c r="P6"/>
      <c r="R6"/>
      <c r="S6"/>
      <c r="T6"/>
      <c r="U6"/>
      <c r="V6"/>
    </row>
    <row r="7" spans="1:22" ht="12.75">
      <c r="A7" s="63" t="s">
        <v>36</v>
      </c>
      <c r="C7" s="63">
        <v>3</v>
      </c>
      <c r="D7" s="63" t="s">
        <v>176</v>
      </c>
      <c r="E7" s="63" t="s">
        <v>178</v>
      </c>
      <c r="F7" s="63" t="s">
        <v>35</v>
      </c>
      <c r="H7" s="29" t="s">
        <v>29</v>
      </c>
      <c r="I7" s="63" t="str">
        <f t="shared" si="0"/>
        <v>0.00</v>
      </c>
      <c r="J7" s="63" t="str">
        <f>IF($B$18=2,"0.0000","0.00")</f>
        <v>0.00</v>
      </c>
      <c r="N7" s="63">
        <v>3</v>
      </c>
      <c r="O7" s="63">
        <v>0.011741583125227014</v>
      </c>
      <c r="P7"/>
      <c r="R7"/>
      <c r="S7"/>
      <c r="T7"/>
      <c r="U7"/>
      <c r="V7"/>
    </row>
    <row r="8" spans="1:22" ht="12.75">
      <c r="A8" s="63" t="s">
        <v>37</v>
      </c>
      <c r="C8" s="63">
        <v>3</v>
      </c>
      <c r="D8" s="63" t="s">
        <v>176</v>
      </c>
      <c r="E8" s="63" t="s">
        <v>178</v>
      </c>
      <c r="F8" s="63" t="s">
        <v>35</v>
      </c>
      <c r="H8" s="29" t="s">
        <v>29</v>
      </c>
      <c r="I8" s="63" t="str">
        <f t="shared" si="0"/>
        <v>0.00</v>
      </c>
      <c r="J8" s="63" t="str">
        <f>IF($B$18=2,"0.0000","0.00")</f>
        <v>0.00</v>
      </c>
      <c r="N8" s="63">
        <v>3.0001</v>
      </c>
      <c r="O8" s="63">
        <v>0.013579251192264788</v>
      </c>
      <c r="P8"/>
      <c r="R8"/>
      <c r="S8"/>
      <c r="T8"/>
      <c r="U8"/>
      <c r="V8"/>
    </row>
    <row r="9" spans="1:22" ht="12.75">
      <c r="A9" s="63" t="s">
        <v>38</v>
      </c>
      <c r="C9" s="63">
        <v>3</v>
      </c>
      <c r="D9" s="63" t="s">
        <v>176</v>
      </c>
      <c r="E9" s="63" t="s">
        <v>178</v>
      </c>
      <c r="F9" s="63" t="s">
        <v>35</v>
      </c>
      <c r="H9" s="29" t="s">
        <v>29</v>
      </c>
      <c r="I9" s="63" t="str">
        <f t="shared" si="0"/>
        <v>0.00</v>
      </c>
      <c r="J9" s="63" t="str">
        <f>IF($B$18=2,"0.0000","0.00")</f>
        <v>0.00</v>
      </c>
      <c r="N9" s="63">
        <v>4</v>
      </c>
      <c r="O9" s="63">
        <v>0.013579251192264788</v>
      </c>
      <c r="P9"/>
      <c r="R9"/>
      <c r="S9"/>
      <c r="T9"/>
      <c r="U9"/>
      <c r="V9"/>
    </row>
    <row r="10" spans="1:22" ht="12.75">
      <c r="A10" s="63" t="s">
        <v>39</v>
      </c>
      <c r="C10" s="63">
        <v>3</v>
      </c>
      <c r="D10" s="63" t="s">
        <v>176</v>
      </c>
      <c r="E10" s="63" t="s">
        <v>178</v>
      </c>
      <c r="F10" s="63" t="s">
        <v>40</v>
      </c>
      <c r="H10" s="29" t="s">
        <v>29</v>
      </c>
      <c r="I10" s="63" t="str">
        <f t="shared" si="0"/>
        <v>0.00</v>
      </c>
      <c r="J10" s="63" t="str">
        <f>IF($B$18=2,"0.0000","0.00")</f>
        <v>0.00</v>
      </c>
      <c r="N10" s="63">
        <v>4.0001</v>
      </c>
      <c r="O10" s="63">
        <v>0.01360513925225151</v>
      </c>
      <c r="P10"/>
      <c r="R10"/>
      <c r="S10"/>
      <c r="T10"/>
      <c r="U10"/>
      <c r="V10"/>
    </row>
    <row r="11" spans="1:22" ht="12.75">
      <c r="A11" s="63" t="s">
        <v>41</v>
      </c>
      <c r="C11" s="63">
        <v>2</v>
      </c>
      <c r="D11" s="63" t="s">
        <v>176</v>
      </c>
      <c r="E11" s="63" t="s">
        <v>178</v>
      </c>
      <c r="H11" s="29" t="s">
        <v>29</v>
      </c>
      <c r="I11" s="63" t="str">
        <f t="shared" si="0"/>
        <v>0.00</v>
      </c>
      <c r="N11" s="63">
        <v>5</v>
      </c>
      <c r="O11" s="63">
        <v>0.01360513925225151</v>
      </c>
      <c r="P11"/>
      <c r="R11"/>
      <c r="S11"/>
      <c r="T11"/>
      <c r="U11"/>
      <c r="V11"/>
    </row>
    <row r="12" spans="1:22" ht="12.75">
      <c r="A12" s="63" t="s">
        <v>42</v>
      </c>
      <c r="C12" s="63">
        <v>3</v>
      </c>
      <c r="D12" s="63" t="s">
        <v>176</v>
      </c>
      <c r="E12" s="63" t="s">
        <v>178</v>
      </c>
      <c r="F12" s="63" t="s">
        <v>43</v>
      </c>
      <c r="H12" s="29" t="s">
        <v>29</v>
      </c>
      <c r="I12" s="63" t="str">
        <f t="shared" si="0"/>
        <v>0.00</v>
      </c>
      <c r="J12" s="29" t="s">
        <v>29</v>
      </c>
      <c r="N12" s="63">
        <v>5.001</v>
      </c>
      <c r="O12" s="63">
        <v>0.012048750582617217</v>
      </c>
      <c r="P12"/>
      <c r="R12"/>
      <c r="S12"/>
      <c r="T12"/>
      <c r="U12"/>
      <c r="V12"/>
    </row>
    <row r="13" spans="1:22" ht="12.75">
      <c r="A13" s="63" t="s">
        <v>44</v>
      </c>
      <c r="C13" s="63">
        <v>4</v>
      </c>
      <c r="D13" s="29" t="s">
        <v>45</v>
      </c>
      <c r="E13" s="63" t="s">
        <v>46</v>
      </c>
      <c r="F13" s="29" t="s">
        <v>47</v>
      </c>
      <c r="G13" s="63" t="s">
        <v>48</v>
      </c>
      <c r="H13" s="29" t="s">
        <v>29</v>
      </c>
      <c r="I13" s="63" t="str">
        <f t="shared" si="0"/>
        <v>0.00</v>
      </c>
      <c r="J13" s="29" t="s">
        <v>29</v>
      </c>
      <c r="K13" s="63" t="str">
        <f>IF($B$18=2,"0.0000","0.00")</f>
        <v>0.00</v>
      </c>
      <c r="N13" s="63">
        <v>5.5</v>
      </c>
      <c r="O13" s="63">
        <v>0.012048750582617217</v>
      </c>
      <c r="P13"/>
      <c r="R13"/>
      <c r="S13"/>
      <c r="T13"/>
      <c r="U13"/>
      <c r="V13"/>
    </row>
    <row r="14" spans="1:22" ht="12.75">
      <c r="A14" s="63" t="s">
        <v>49</v>
      </c>
      <c r="C14" s="63">
        <v>4</v>
      </c>
      <c r="D14" s="29" t="s">
        <v>45</v>
      </c>
      <c r="E14" s="63" t="s">
        <v>46</v>
      </c>
      <c r="F14" s="29" t="s">
        <v>47</v>
      </c>
      <c r="G14" s="63" t="s">
        <v>48</v>
      </c>
      <c r="H14" s="29" t="s">
        <v>29</v>
      </c>
      <c r="I14" s="63" t="str">
        <f t="shared" si="0"/>
        <v>0.00</v>
      </c>
      <c r="J14" s="29" t="s">
        <v>29</v>
      </c>
      <c r="K14" s="63" t="str">
        <f>IF($B$18=2,"0.0000","0.00")</f>
        <v>0.00</v>
      </c>
      <c r="N14" s="63">
        <v>5.75</v>
      </c>
      <c r="O14" s="63">
        <v>0.012048750582617217</v>
      </c>
      <c r="P14"/>
      <c r="R14"/>
      <c r="S14"/>
      <c r="T14"/>
      <c r="U14"/>
      <c r="V14"/>
    </row>
    <row r="15" spans="1:22" ht="12.75">
      <c r="A15" s="29" t="s">
        <v>108</v>
      </c>
      <c r="C15" s="63">
        <v>3</v>
      </c>
      <c r="D15" s="29" t="s">
        <v>177</v>
      </c>
      <c r="E15" s="63" t="s">
        <v>50</v>
      </c>
      <c r="F15" s="63" t="s">
        <v>51</v>
      </c>
      <c r="H15" s="29" t="s">
        <v>29</v>
      </c>
      <c r="I15" s="63" t="str">
        <f t="shared" si="0"/>
        <v>0.00</v>
      </c>
      <c r="J15" s="63" t="str">
        <f>IF($B$18=2,"0.0000","0.00")</f>
        <v>0.00</v>
      </c>
      <c r="N15" s="63">
        <v>6</v>
      </c>
      <c r="O15" s="63">
        <v>0.012048750582617217</v>
      </c>
      <c r="P15"/>
      <c r="R15"/>
      <c r="S15"/>
      <c r="T15"/>
      <c r="U15"/>
      <c r="V15"/>
    </row>
    <row r="16" spans="1:22" ht="12.75">
      <c r="A16" s="29" t="s">
        <v>109</v>
      </c>
      <c r="C16" s="63">
        <v>4</v>
      </c>
      <c r="D16" s="29" t="s">
        <v>177</v>
      </c>
      <c r="E16" s="63" t="s">
        <v>50</v>
      </c>
      <c r="F16" s="63" t="s">
        <v>51</v>
      </c>
      <c r="G16" s="63" t="s">
        <v>5</v>
      </c>
      <c r="H16" s="29" t="s">
        <v>29</v>
      </c>
      <c r="I16" s="63" t="str">
        <f t="shared" si="0"/>
        <v>0.00</v>
      </c>
      <c r="J16" s="63" t="str">
        <f>IF($B$18=2,"0.0000","0.00")</f>
        <v>0.00</v>
      </c>
      <c r="K16" s="63" t="str">
        <f>IF($B$18=2,"0.0000","0.00")</f>
        <v>0.00</v>
      </c>
      <c r="N16" s="63">
        <v>6.25</v>
      </c>
      <c r="O16" s="63">
        <v>0.012048750582617217</v>
      </c>
      <c r="P16"/>
      <c r="R16"/>
      <c r="S16"/>
      <c r="T16"/>
      <c r="U16"/>
      <c r="V16"/>
    </row>
    <row r="17" spans="14:22" ht="12.75">
      <c r="N17" s="63">
        <v>6.5</v>
      </c>
      <c r="O17" s="63">
        <v>0.012048750582617217</v>
      </c>
      <c r="P17"/>
      <c r="R17"/>
      <c r="S17"/>
      <c r="T17"/>
      <c r="U17"/>
      <c r="V17"/>
    </row>
    <row r="18" spans="1:22" ht="12.75">
      <c r="A18" s="26" t="s">
        <v>52</v>
      </c>
      <c r="B18" s="63">
        <v>3</v>
      </c>
      <c r="N18" s="63">
        <v>6.75</v>
      </c>
      <c r="O18" s="63">
        <v>0.012048750582617217</v>
      </c>
      <c r="P18"/>
      <c r="R18"/>
      <c r="S18"/>
      <c r="T18"/>
      <c r="U18"/>
      <c r="V18"/>
    </row>
    <row r="19" spans="1:22" ht="12.75">
      <c r="A19" s="63" t="s">
        <v>53</v>
      </c>
      <c r="C19" s="63">
        <v>3</v>
      </c>
      <c r="D19" s="63" t="s">
        <v>1</v>
      </c>
      <c r="E19" s="63" t="s">
        <v>2</v>
      </c>
      <c r="F19" s="63" t="s">
        <v>3</v>
      </c>
      <c r="H19" s="63" t="s">
        <v>54</v>
      </c>
      <c r="I19" s="63" t="s">
        <v>55</v>
      </c>
      <c r="J19" s="63" t="s">
        <v>55</v>
      </c>
      <c r="N19" s="63">
        <v>7</v>
      </c>
      <c r="O19" s="63">
        <v>0.012048750582617217</v>
      </c>
      <c r="P19"/>
      <c r="R19"/>
      <c r="S19"/>
      <c r="T19"/>
      <c r="U19"/>
      <c r="V19"/>
    </row>
    <row r="20" spans="1:22" ht="12.75">
      <c r="A20" s="63" t="s">
        <v>56</v>
      </c>
      <c r="C20" s="63">
        <v>4</v>
      </c>
      <c r="D20" s="63" t="s">
        <v>57</v>
      </c>
      <c r="E20" s="63" t="s">
        <v>2</v>
      </c>
      <c r="F20" s="63" t="s">
        <v>3</v>
      </c>
      <c r="G20" s="63" t="s">
        <v>58</v>
      </c>
      <c r="H20" s="63" t="s">
        <v>29</v>
      </c>
      <c r="I20" s="63" t="s">
        <v>55</v>
      </c>
      <c r="J20" s="63" t="s">
        <v>55</v>
      </c>
      <c r="K20" s="63" t="s">
        <v>55</v>
      </c>
      <c r="N20" s="63">
        <v>7.25</v>
      </c>
      <c r="O20" s="63">
        <v>0.012048750582617217</v>
      </c>
      <c r="P20"/>
      <c r="R20"/>
      <c r="S20"/>
      <c r="T20"/>
      <c r="U20"/>
      <c r="V20"/>
    </row>
    <row r="21" spans="1:22" ht="12.75">
      <c r="A21" s="63" t="s">
        <v>59</v>
      </c>
      <c r="C21" s="63">
        <v>4</v>
      </c>
      <c r="D21" s="63" t="s">
        <v>60</v>
      </c>
      <c r="E21" s="63" t="s">
        <v>2</v>
      </c>
      <c r="F21" s="63" t="s">
        <v>3</v>
      </c>
      <c r="G21" s="63" t="s">
        <v>61</v>
      </c>
      <c r="H21" s="63" t="s">
        <v>54</v>
      </c>
      <c r="I21" s="63" t="s">
        <v>55</v>
      </c>
      <c r="J21" s="63" t="s">
        <v>55</v>
      </c>
      <c r="K21" s="63" t="s">
        <v>55</v>
      </c>
      <c r="N21" s="63">
        <v>7.5</v>
      </c>
      <c r="O21" s="63">
        <v>0.012048750582617217</v>
      </c>
      <c r="P21"/>
      <c r="R21"/>
      <c r="S21"/>
      <c r="T21"/>
      <c r="U21"/>
      <c r="V21"/>
    </row>
    <row r="22" spans="1:22" ht="12.75">
      <c r="A22" s="63" t="s">
        <v>62</v>
      </c>
      <c r="C22" s="63">
        <v>3</v>
      </c>
      <c r="D22" s="63" t="s">
        <v>63</v>
      </c>
      <c r="E22" s="63" t="s">
        <v>2</v>
      </c>
      <c r="F22" s="63" t="s">
        <v>3</v>
      </c>
      <c r="H22" s="63" t="s">
        <v>54</v>
      </c>
      <c r="I22" s="63" t="s">
        <v>55</v>
      </c>
      <c r="J22" s="63" t="s">
        <v>55</v>
      </c>
      <c r="N22" s="63">
        <v>7.75</v>
      </c>
      <c r="O22" s="63">
        <v>0.012048750582617217</v>
      </c>
      <c r="P22"/>
      <c r="R22"/>
      <c r="S22"/>
      <c r="T22"/>
      <c r="U22"/>
      <c r="V22"/>
    </row>
    <row r="23" spans="14:22" ht="12.75">
      <c r="N23" s="63">
        <v>8</v>
      </c>
      <c r="O23" s="63">
        <v>0.012048750582617217</v>
      </c>
      <c r="P23"/>
      <c r="R23"/>
      <c r="S23"/>
      <c r="T23"/>
      <c r="U23"/>
      <c r="V23"/>
    </row>
    <row r="24" spans="1:22" ht="12.75">
      <c r="A24" s="26" t="s">
        <v>64</v>
      </c>
      <c r="B24" s="63">
        <v>1</v>
      </c>
      <c r="D24" s="28" t="s">
        <v>162</v>
      </c>
      <c r="E24" s="86">
        <v>2</v>
      </c>
      <c r="N24" s="63">
        <v>8.25</v>
      </c>
      <c r="O24" s="63">
        <v>0.012048750582617217</v>
      </c>
      <c r="P24"/>
      <c r="R24"/>
      <c r="S24"/>
      <c r="T24"/>
      <c r="U24"/>
      <c r="V24"/>
    </row>
    <row r="25" spans="4:22" ht="12.75">
      <c r="D25" s="26" t="s">
        <v>164</v>
      </c>
      <c r="E25" s="86">
        <v>1</v>
      </c>
      <c r="N25" s="63">
        <v>8.5</v>
      </c>
      <c r="O25" s="63">
        <v>0.012048750582617217</v>
      </c>
      <c r="P25"/>
      <c r="R25"/>
      <c r="S25"/>
      <c r="T25"/>
      <c r="U25"/>
      <c r="V25"/>
    </row>
    <row r="26" spans="1:22" ht="12.75">
      <c r="A26" s="26"/>
      <c r="D26" s="26" t="s">
        <v>165</v>
      </c>
      <c r="E26" s="86">
        <v>2</v>
      </c>
      <c r="N26" s="63">
        <v>8.75</v>
      </c>
      <c r="O26" s="63">
        <v>0.012048750582617217</v>
      </c>
      <c r="P26"/>
      <c r="R26"/>
      <c r="S26"/>
      <c r="T26"/>
      <c r="U26"/>
      <c r="V26"/>
    </row>
    <row r="27" spans="14:22" ht="12.75">
      <c r="N27" s="63">
        <v>9</v>
      </c>
      <c r="O27" s="63">
        <v>0.012048750582617217</v>
      </c>
      <c r="P27"/>
      <c r="R27"/>
      <c r="S27"/>
      <c r="T27"/>
      <c r="U27"/>
      <c r="V27"/>
    </row>
    <row r="28" spans="1:15" ht="12.75">
      <c r="A28" s="28" t="s">
        <v>65</v>
      </c>
      <c r="B28" s="63" t="b">
        <v>0</v>
      </c>
      <c r="N28" s="63">
        <v>9.25</v>
      </c>
      <c r="O28" s="63">
        <v>0.012048750582617217</v>
      </c>
    </row>
    <row r="29" spans="14:15" ht="12.75">
      <c r="N29" s="63">
        <v>9.5</v>
      </c>
      <c r="O29" s="63">
        <v>0.012048750582617217</v>
      </c>
    </row>
    <row r="30" spans="1:15" ht="12.75">
      <c r="A30" s="26" t="s">
        <v>66</v>
      </c>
      <c r="B30" s="63">
        <v>2</v>
      </c>
      <c r="N30" s="63">
        <v>9.75</v>
      </c>
      <c r="O30" s="63">
        <v>0.012048750582617217</v>
      </c>
    </row>
    <row r="31" spans="1:15" ht="12.75">
      <c r="A31" s="63" t="s">
        <v>67</v>
      </c>
      <c r="N31" s="63">
        <v>10</v>
      </c>
      <c r="O31" s="63">
        <v>0.012048750582617217</v>
      </c>
    </row>
    <row r="32" ht="12.75">
      <c r="A32" s="63" t="s">
        <v>68</v>
      </c>
    </row>
    <row r="33" ht="12.75">
      <c r="A33" s="63" t="s">
        <v>69</v>
      </c>
    </row>
    <row r="34" ht="12.75">
      <c r="A34" s="29" t="s">
        <v>123</v>
      </c>
    </row>
    <row r="35" ht="12.75">
      <c r="A35" s="63" t="s">
        <v>71</v>
      </c>
    </row>
    <row r="37" spans="1:2" ht="12.75">
      <c r="A37" s="28" t="s">
        <v>72</v>
      </c>
      <c r="B37" s="63">
        <v>1</v>
      </c>
    </row>
    <row r="38" ht="12.75">
      <c r="A38" s="63" t="s">
        <v>73</v>
      </c>
    </row>
    <row r="39" ht="12.75">
      <c r="A39" s="63" t="s">
        <v>74</v>
      </c>
    </row>
    <row r="40" ht="12.75">
      <c r="A40" s="63" t="s">
        <v>75</v>
      </c>
    </row>
    <row r="41" ht="12.75">
      <c r="A41" s="63" t="s">
        <v>76</v>
      </c>
    </row>
    <row r="42" ht="12.75">
      <c r="A42" s="63" t="s">
        <v>77</v>
      </c>
    </row>
    <row r="43" ht="12.75">
      <c r="A43" s="63" t="s">
        <v>78</v>
      </c>
    </row>
    <row r="45" spans="2:7" ht="12.75">
      <c r="B45" s="64"/>
      <c r="E45" s="65"/>
      <c r="F45" s="64"/>
      <c r="G45" s="64"/>
    </row>
    <row r="46" ht="12.75">
      <c r="A46" s="26" t="s">
        <v>79</v>
      </c>
    </row>
    <row r="47" spans="1:6" ht="12.75">
      <c r="A47" s="26" t="s">
        <v>80</v>
      </c>
      <c r="B47" s="63">
        <v>2</v>
      </c>
      <c r="D47" s="28" t="s">
        <v>167</v>
      </c>
      <c r="E47" s="63">
        <v>2</v>
      </c>
      <c r="F47" s="28"/>
    </row>
    <row r="48" ht="12.75">
      <c r="A48" s="63" t="s">
        <v>81</v>
      </c>
    </row>
    <row r="49" ht="12.75">
      <c r="A49" s="63" t="s">
        <v>82</v>
      </c>
    </row>
    <row r="50" ht="12.75">
      <c r="A50" s="63" t="s">
        <v>83</v>
      </c>
    </row>
    <row r="52" spans="1:9" ht="25.5">
      <c r="A52" s="26" t="s">
        <v>84</v>
      </c>
      <c r="B52" s="63">
        <v>6</v>
      </c>
      <c r="C52" s="27" t="s">
        <v>26</v>
      </c>
      <c r="D52" s="26" t="s">
        <v>27</v>
      </c>
      <c r="I52" s="26" t="s">
        <v>28</v>
      </c>
    </row>
    <row r="53" spans="1:11" ht="12.75">
      <c r="A53" s="29" t="s">
        <v>85</v>
      </c>
      <c r="C53" s="63">
        <v>3</v>
      </c>
      <c r="D53" s="66" t="s">
        <v>17</v>
      </c>
      <c r="E53" s="63" t="s">
        <v>18</v>
      </c>
      <c r="F53" s="66" t="s">
        <v>86</v>
      </c>
      <c r="G53" s="67"/>
      <c r="I53" s="29" t="s">
        <v>54</v>
      </c>
      <c r="J53" s="29" t="s">
        <v>54</v>
      </c>
      <c r="K53" s="63" t="s">
        <v>55</v>
      </c>
    </row>
    <row r="54" spans="1:12" ht="12.75">
      <c r="A54" s="29" t="s">
        <v>87</v>
      </c>
      <c r="C54" s="63">
        <v>4</v>
      </c>
      <c r="D54" s="66" t="s">
        <v>17</v>
      </c>
      <c r="E54" s="63" t="s">
        <v>18</v>
      </c>
      <c r="F54" s="66" t="s">
        <v>19</v>
      </c>
      <c r="G54" s="66" t="s">
        <v>20</v>
      </c>
      <c r="I54" s="29" t="s">
        <v>54</v>
      </c>
      <c r="J54" s="29" t="s">
        <v>54</v>
      </c>
      <c r="K54" s="63" t="s">
        <v>55</v>
      </c>
      <c r="L54" s="63" t="s">
        <v>55</v>
      </c>
    </row>
    <row r="55" spans="1:13" ht="12.75">
      <c r="A55" s="29" t="s">
        <v>88</v>
      </c>
      <c r="C55" s="63">
        <v>5</v>
      </c>
      <c r="D55" s="66" t="s">
        <v>17</v>
      </c>
      <c r="E55" s="63" t="s">
        <v>18</v>
      </c>
      <c r="F55" s="66" t="s">
        <v>19</v>
      </c>
      <c r="G55" s="66" t="s">
        <v>20</v>
      </c>
      <c r="H55" s="63" t="s">
        <v>21</v>
      </c>
      <c r="I55" s="29" t="s">
        <v>54</v>
      </c>
      <c r="J55" s="29" t="s">
        <v>54</v>
      </c>
      <c r="K55" s="63" t="s">
        <v>55</v>
      </c>
      <c r="L55" s="63" t="s">
        <v>55</v>
      </c>
      <c r="M55" s="63" t="s">
        <v>31</v>
      </c>
    </row>
    <row r="56" spans="1:13" ht="12.75">
      <c r="A56" s="29" t="s">
        <v>222</v>
      </c>
      <c r="C56" s="63">
        <v>5</v>
      </c>
      <c r="D56" s="66" t="s">
        <v>17</v>
      </c>
      <c r="E56" s="63" t="s">
        <v>18</v>
      </c>
      <c r="F56" s="66" t="s">
        <v>19</v>
      </c>
      <c r="G56" s="66" t="s">
        <v>20</v>
      </c>
      <c r="H56" s="63" t="s">
        <v>21</v>
      </c>
      <c r="I56" s="29" t="s">
        <v>54</v>
      </c>
      <c r="J56" s="29" t="s">
        <v>54</v>
      </c>
      <c r="K56" s="63" t="s">
        <v>55</v>
      </c>
      <c r="L56" s="63" t="s">
        <v>55</v>
      </c>
      <c r="M56" s="63" t="s">
        <v>31</v>
      </c>
    </row>
    <row r="57" spans="1:13" ht="12.75">
      <c r="A57" s="29" t="s">
        <v>223</v>
      </c>
      <c r="C57" s="63">
        <v>5</v>
      </c>
      <c r="D57" s="66" t="s">
        <v>17</v>
      </c>
      <c r="E57" s="63" t="s">
        <v>18</v>
      </c>
      <c r="F57" s="66" t="s">
        <v>19</v>
      </c>
      <c r="G57" s="66" t="s">
        <v>20</v>
      </c>
      <c r="H57" s="63" t="s">
        <v>21</v>
      </c>
      <c r="I57" s="29" t="s">
        <v>54</v>
      </c>
      <c r="J57" s="29" t="s">
        <v>54</v>
      </c>
      <c r="K57" s="63" t="s">
        <v>55</v>
      </c>
      <c r="L57" s="63" t="s">
        <v>55</v>
      </c>
      <c r="M57" s="63" t="s">
        <v>31</v>
      </c>
    </row>
    <row r="58" spans="1:13" ht="12.75">
      <c r="A58" s="29" t="s">
        <v>224</v>
      </c>
      <c r="C58" s="63">
        <v>5</v>
      </c>
      <c r="D58" s="66" t="s">
        <v>17</v>
      </c>
      <c r="E58" s="63" t="s">
        <v>18</v>
      </c>
      <c r="F58" s="66" t="s">
        <v>19</v>
      </c>
      <c r="G58" s="66" t="s">
        <v>20</v>
      </c>
      <c r="H58" s="63" t="s">
        <v>21</v>
      </c>
      <c r="I58" s="29" t="s">
        <v>54</v>
      </c>
      <c r="J58" s="29" t="s">
        <v>54</v>
      </c>
      <c r="K58" s="63" t="s">
        <v>55</v>
      </c>
      <c r="L58" s="63" t="s">
        <v>55</v>
      </c>
      <c r="M58" s="63" t="s">
        <v>31</v>
      </c>
    </row>
    <row r="60" spans="1:5" ht="12.75">
      <c r="A60" s="26" t="s">
        <v>64</v>
      </c>
      <c r="B60" s="63">
        <v>2</v>
      </c>
      <c r="D60" s="28" t="s">
        <v>162</v>
      </c>
      <c r="E60" s="86">
        <v>1</v>
      </c>
    </row>
    <row r="61" spans="4:5" ht="12.75">
      <c r="D61" s="28" t="s">
        <v>168</v>
      </c>
      <c r="E61" s="86">
        <v>1</v>
      </c>
    </row>
    <row r="62" spans="1:5" ht="12.75">
      <c r="A62" s="28" t="s">
        <v>65</v>
      </c>
      <c r="B62" s="63" t="b">
        <v>0</v>
      </c>
      <c r="D62" s="26"/>
      <c r="E62" s="86"/>
    </row>
    <row r="63" spans="4:5" ht="12.75">
      <c r="D63" s="28" t="s">
        <v>166</v>
      </c>
      <c r="E63" s="63" t="b">
        <v>1</v>
      </c>
    </row>
    <row r="64" spans="1:2" ht="12.75">
      <c r="A64" s="26" t="s">
        <v>89</v>
      </c>
      <c r="B64" s="63" t="b">
        <v>1</v>
      </c>
    </row>
    <row r="66" spans="1:2" ht="12.75">
      <c r="A66" s="26" t="s">
        <v>90</v>
      </c>
      <c r="B66" s="63" t="b">
        <v>1</v>
      </c>
    </row>
    <row r="68" spans="1:2" ht="12.75">
      <c r="A68" s="26" t="s">
        <v>66</v>
      </c>
      <c r="B68" s="63">
        <v>2</v>
      </c>
    </row>
    <row r="69" ht="12.75">
      <c r="A69" s="29" t="s">
        <v>91</v>
      </c>
    </row>
    <row r="70" ht="12.75">
      <c r="A70" s="63" t="s">
        <v>68</v>
      </c>
    </row>
    <row r="71" ht="12.75">
      <c r="A71" s="29" t="s">
        <v>70</v>
      </c>
    </row>
    <row r="72" ht="12.75">
      <c r="A72" s="63" t="s">
        <v>71</v>
      </c>
    </row>
    <row r="73" ht="12.75">
      <c r="A73" s="63" t="s">
        <v>92</v>
      </c>
    </row>
    <row r="75" spans="1:2" ht="12.75">
      <c r="A75" s="28" t="s">
        <v>72</v>
      </c>
      <c r="B75" s="63">
        <v>2</v>
      </c>
    </row>
    <row r="76" ht="12.75">
      <c r="A76" s="63" t="s">
        <v>73</v>
      </c>
    </row>
    <row r="77" ht="12.75">
      <c r="A77" s="63" t="s">
        <v>93</v>
      </c>
    </row>
    <row r="78" ht="12.75">
      <c r="A78" s="29" t="s">
        <v>94</v>
      </c>
    </row>
    <row r="79" ht="12.75">
      <c r="A79" s="63" t="s">
        <v>76</v>
      </c>
    </row>
    <row r="81" ht="12.75">
      <c r="A81" s="26" t="s">
        <v>95</v>
      </c>
    </row>
    <row r="82" spans="1:8" ht="12.75">
      <c r="A82" s="28" t="s">
        <v>96</v>
      </c>
      <c r="B82" s="63">
        <v>2</v>
      </c>
      <c r="D82" s="28" t="s">
        <v>170</v>
      </c>
      <c r="E82" s="63">
        <v>3</v>
      </c>
      <c r="F82" s="28" t="s">
        <v>179</v>
      </c>
      <c r="G82" s="63">
        <v>4</v>
      </c>
      <c r="H82" s="63">
        <v>3</v>
      </c>
    </row>
    <row r="83" spans="1:5" ht="12.75">
      <c r="A83" s="29" t="s">
        <v>97</v>
      </c>
      <c r="D83" s="28" t="s">
        <v>171</v>
      </c>
      <c r="E83" s="63">
        <v>1</v>
      </c>
    </row>
    <row r="84" spans="1:5" ht="12.75">
      <c r="A84" s="63" t="s">
        <v>81</v>
      </c>
      <c r="D84" s="28" t="s">
        <v>172</v>
      </c>
      <c r="E84" s="63">
        <v>1</v>
      </c>
    </row>
    <row r="85" ht="12.75">
      <c r="A85" s="63" t="s">
        <v>82</v>
      </c>
    </row>
    <row r="86" ht="12.75">
      <c r="A86" s="63" t="s">
        <v>83</v>
      </c>
    </row>
    <row r="88" spans="1:9" ht="25.5">
      <c r="A88" s="26" t="s">
        <v>84</v>
      </c>
      <c r="B88" s="63">
        <v>2</v>
      </c>
      <c r="C88" s="27" t="s">
        <v>26</v>
      </c>
      <c r="D88" s="26" t="s">
        <v>27</v>
      </c>
      <c r="I88" s="26" t="s">
        <v>28</v>
      </c>
    </row>
    <row r="89" spans="1:10" ht="12.75">
      <c r="A89" s="29" t="s">
        <v>85</v>
      </c>
      <c r="C89" s="63">
        <v>1</v>
      </c>
      <c r="D89" s="66" t="s">
        <v>98</v>
      </c>
      <c r="G89" s="67"/>
      <c r="I89" s="63" t="s">
        <v>55</v>
      </c>
      <c r="J89" s="29"/>
    </row>
    <row r="90" spans="1:9" ht="12.75">
      <c r="A90" s="29" t="s">
        <v>218</v>
      </c>
      <c r="C90" s="63">
        <v>1</v>
      </c>
      <c r="D90" s="66" t="s">
        <v>219</v>
      </c>
      <c r="E90" s="66"/>
      <c r="G90" s="66"/>
      <c r="I90" s="63" t="s">
        <v>55</v>
      </c>
    </row>
    <row r="91" spans="1:10" ht="12.75">
      <c r="A91" s="29" t="s">
        <v>221</v>
      </c>
      <c r="C91" s="63">
        <v>2</v>
      </c>
      <c r="D91" s="66" t="s">
        <v>98</v>
      </c>
      <c r="E91" s="66" t="s">
        <v>220</v>
      </c>
      <c r="G91" s="66"/>
      <c r="I91" s="63" t="s">
        <v>55</v>
      </c>
      <c r="J91" s="63" t="s">
        <v>55</v>
      </c>
    </row>
    <row r="93" ht="12.75">
      <c r="A93" s="29"/>
    </row>
    <row r="95" spans="1:2" ht="12.75">
      <c r="A95" s="26" t="s">
        <v>52</v>
      </c>
      <c r="B95" s="63">
        <v>2</v>
      </c>
    </row>
    <row r="96" spans="1:11" ht="12.75">
      <c r="A96" s="29" t="s">
        <v>99</v>
      </c>
      <c r="C96" s="63">
        <v>4</v>
      </c>
      <c r="D96" s="63" t="s">
        <v>22</v>
      </c>
      <c r="E96" s="63" t="s">
        <v>23</v>
      </c>
      <c r="F96" s="29" t="s">
        <v>24</v>
      </c>
      <c r="G96" s="29" t="s">
        <v>174</v>
      </c>
      <c r="H96" s="29" t="s">
        <v>175</v>
      </c>
      <c r="I96" s="63" t="s">
        <v>54</v>
      </c>
      <c r="J96" s="63" t="s">
        <v>54</v>
      </c>
      <c r="K96" s="63" t="s">
        <v>55</v>
      </c>
    </row>
    <row r="97" spans="1:11" ht="12.75">
      <c r="A97" s="29" t="s">
        <v>100</v>
      </c>
      <c r="C97" s="63">
        <v>4</v>
      </c>
      <c r="D97" s="63" t="s">
        <v>22</v>
      </c>
      <c r="E97" s="29" t="s">
        <v>101</v>
      </c>
      <c r="F97" s="29" t="s">
        <v>102</v>
      </c>
      <c r="G97" s="29" t="s">
        <v>103</v>
      </c>
      <c r="H97" s="29" t="s">
        <v>175</v>
      </c>
      <c r="I97" s="63" t="s">
        <v>54</v>
      </c>
      <c r="J97" s="63" t="s">
        <v>54</v>
      </c>
      <c r="K97" s="63" t="s">
        <v>55</v>
      </c>
    </row>
    <row r="99" spans="1:5" ht="12.75">
      <c r="A99" s="26" t="s">
        <v>64</v>
      </c>
      <c r="B99" s="63">
        <v>2</v>
      </c>
      <c r="D99" s="28" t="s">
        <v>173</v>
      </c>
      <c r="E99" s="63">
        <v>1</v>
      </c>
    </row>
    <row r="101" spans="1:5" ht="12.75">
      <c r="A101" s="28" t="s">
        <v>65</v>
      </c>
      <c r="B101" s="63" t="b">
        <v>0</v>
      </c>
      <c r="D101"/>
      <c r="E101"/>
    </row>
    <row r="103" spans="1:2" ht="12.75">
      <c r="A103" s="26" t="s">
        <v>104</v>
      </c>
      <c r="B103" s="63" t="b">
        <v>0</v>
      </c>
    </row>
    <row r="105" spans="1:2" ht="12.75">
      <c r="A105" s="26" t="s">
        <v>66</v>
      </c>
      <c r="B105" s="63">
        <v>2</v>
      </c>
    </row>
    <row r="106" ht="12.75">
      <c r="A106" s="29" t="s">
        <v>91</v>
      </c>
    </row>
    <row r="107" ht="12.75">
      <c r="A107" s="63" t="s">
        <v>71</v>
      </c>
    </row>
    <row r="108" ht="12.75">
      <c r="A108" s="63" t="s">
        <v>105</v>
      </c>
    </row>
    <row r="109" ht="12.75">
      <c r="A109" s="29" t="s">
        <v>106</v>
      </c>
    </row>
    <row r="110" ht="12.75">
      <c r="A110" s="29" t="s">
        <v>107</v>
      </c>
    </row>
    <row r="112" spans="1:2" ht="12.75">
      <c r="A112" s="28" t="s">
        <v>72</v>
      </c>
      <c r="B112" s="63">
        <v>4</v>
      </c>
    </row>
    <row r="113" ht="12.75">
      <c r="A113" s="63" t="s">
        <v>73</v>
      </c>
    </row>
    <row r="114" ht="12.75">
      <c r="A114" s="63" t="s">
        <v>93</v>
      </c>
    </row>
    <row r="115" ht="12.75">
      <c r="A115" s="29" t="s">
        <v>94</v>
      </c>
    </row>
    <row r="116" ht="12.75">
      <c r="A116" s="63" t="s">
        <v>76</v>
      </c>
    </row>
    <row r="118" ht="12.75">
      <c r="A118" s="26" t="s">
        <v>110</v>
      </c>
    </row>
    <row r="119" spans="1:2" ht="12.75">
      <c r="A119" s="28" t="s">
        <v>111</v>
      </c>
      <c r="B119" s="63">
        <v>3</v>
      </c>
    </row>
    <row r="120" ht="12.75">
      <c r="A120" s="63" t="s">
        <v>81</v>
      </c>
    </row>
    <row r="121" ht="12.75">
      <c r="A121" s="63" t="s">
        <v>82</v>
      </c>
    </row>
    <row r="122" ht="12.75">
      <c r="A122" s="63" t="s">
        <v>83</v>
      </c>
    </row>
    <row r="124" spans="1:2" ht="12.75">
      <c r="A124" s="28" t="s">
        <v>112</v>
      </c>
      <c r="B124" s="63">
        <v>1</v>
      </c>
    </row>
    <row r="126" ht="12.75">
      <c r="A126" s="26" t="s">
        <v>131</v>
      </c>
    </row>
    <row r="127" spans="1:2" ht="12.75">
      <c r="A127" s="28" t="s">
        <v>111</v>
      </c>
      <c r="B127" s="63">
        <v>1</v>
      </c>
    </row>
    <row r="128" ht="12.75">
      <c r="A128" s="63" t="s">
        <v>81</v>
      </c>
    </row>
    <row r="129" ht="12.75">
      <c r="A129" s="63" t="s">
        <v>82</v>
      </c>
    </row>
    <row r="130" ht="12.75">
      <c r="A130" s="63" t="s">
        <v>83</v>
      </c>
    </row>
    <row r="131" spans="1:2" ht="12.75">
      <c r="A131" s="30"/>
      <c r="B131" s="30"/>
    </row>
    <row r="132" spans="1:2" ht="12.75">
      <c r="A132" s="30" t="s">
        <v>125</v>
      </c>
      <c r="B132" s="30" t="b">
        <v>0</v>
      </c>
    </row>
    <row r="133" spans="1:2" ht="12.75">
      <c r="A133" s="30" t="s">
        <v>126</v>
      </c>
      <c r="B133" s="30" t="b">
        <v>1</v>
      </c>
    </row>
    <row r="134" spans="1:2" ht="12.75">
      <c r="A134" s="30" t="s">
        <v>127</v>
      </c>
      <c r="B134" s="30" t="b">
        <v>0</v>
      </c>
    </row>
    <row r="135" spans="1:2" ht="12.75">
      <c r="A135" s="30" t="s">
        <v>128</v>
      </c>
      <c r="B135" s="30" t="b">
        <v>0</v>
      </c>
    </row>
    <row r="136" spans="1:2" ht="12.75">
      <c r="A136" s="30" t="s">
        <v>129</v>
      </c>
      <c r="B136" s="30" t="b">
        <v>0</v>
      </c>
    </row>
    <row r="137" spans="1:2" ht="12.75">
      <c r="A137" s="30"/>
      <c r="B137" s="30"/>
    </row>
    <row r="138" spans="1:2" ht="12.75">
      <c r="A138" s="68" t="s">
        <v>130</v>
      </c>
      <c r="B138" s="30" t="b">
        <v>0</v>
      </c>
    </row>
    <row r="140" spans="1:2" ht="12.75">
      <c r="A140" s="30" t="s">
        <v>134</v>
      </c>
      <c r="B140" s="63">
        <v>2</v>
      </c>
    </row>
    <row r="142" spans="1:8" ht="25.5">
      <c r="A142" s="28" t="s">
        <v>143</v>
      </c>
      <c r="B142" s="63">
        <v>2</v>
      </c>
      <c r="C142" s="27" t="s">
        <v>26</v>
      </c>
      <c r="D142" s="26" t="s">
        <v>27</v>
      </c>
      <c r="H142" s="26" t="s">
        <v>28</v>
      </c>
    </row>
    <row r="143" spans="1:9" ht="12.75">
      <c r="A143" s="29" t="s">
        <v>180</v>
      </c>
      <c r="C143" s="63">
        <v>2</v>
      </c>
      <c r="D143" s="63" t="s">
        <v>176</v>
      </c>
      <c r="E143" s="63" t="s">
        <v>178</v>
      </c>
      <c r="H143" s="29" t="s">
        <v>29</v>
      </c>
      <c r="I143" s="63" t="str">
        <f aca="true" t="shared" si="1" ref="I143:I152">IF($B$18=2,"0.0000","0.00")</f>
        <v>0.00</v>
      </c>
    </row>
    <row r="144" spans="1:11" ht="12.75">
      <c r="A144" s="63" t="s">
        <v>33</v>
      </c>
      <c r="C144" s="63">
        <v>4</v>
      </c>
      <c r="D144" s="29" t="s">
        <v>177</v>
      </c>
      <c r="E144" s="63" t="s">
        <v>178</v>
      </c>
      <c r="F144" s="29" t="s">
        <v>6</v>
      </c>
      <c r="G144" s="63" t="s">
        <v>7</v>
      </c>
      <c r="H144" s="29" t="s">
        <v>29</v>
      </c>
      <c r="I144" s="63" t="str">
        <f t="shared" si="1"/>
        <v>0.00</v>
      </c>
      <c r="J144" s="29" t="s">
        <v>29</v>
      </c>
      <c r="K144" s="63" t="str">
        <f>IF($B$18=2,"0.0000","0.00")</f>
        <v>0.00</v>
      </c>
    </row>
    <row r="145" spans="1:10" ht="12.75">
      <c r="A145" s="63" t="s">
        <v>34</v>
      </c>
      <c r="C145" s="63">
        <v>3</v>
      </c>
      <c r="D145" s="63" t="s">
        <v>176</v>
      </c>
      <c r="E145" s="63" t="s">
        <v>178</v>
      </c>
      <c r="F145" s="63" t="s">
        <v>35</v>
      </c>
      <c r="H145" s="29" t="s">
        <v>29</v>
      </c>
      <c r="I145" s="63" t="str">
        <f t="shared" si="1"/>
        <v>0.00</v>
      </c>
      <c r="J145" s="63" t="str">
        <f>IF($B$18=2,"0.0000","0.00")</f>
        <v>0.00</v>
      </c>
    </row>
    <row r="146" spans="1:10" ht="12.75">
      <c r="A146" s="63" t="s">
        <v>36</v>
      </c>
      <c r="C146" s="63">
        <v>3</v>
      </c>
      <c r="D146" s="63" t="s">
        <v>176</v>
      </c>
      <c r="E146" s="63" t="s">
        <v>178</v>
      </c>
      <c r="F146" s="63" t="s">
        <v>35</v>
      </c>
      <c r="H146" s="29" t="s">
        <v>29</v>
      </c>
      <c r="I146" s="63" t="str">
        <f t="shared" si="1"/>
        <v>0.00</v>
      </c>
      <c r="J146" s="63" t="str">
        <f>IF($B$18=2,"0.0000","0.00")</f>
        <v>0.00</v>
      </c>
    </row>
    <row r="147" spans="1:10" ht="12.75">
      <c r="A147" s="63" t="s">
        <v>37</v>
      </c>
      <c r="C147" s="63">
        <v>3</v>
      </c>
      <c r="D147" s="63" t="s">
        <v>176</v>
      </c>
      <c r="E147" s="63" t="s">
        <v>178</v>
      </c>
      <c r="F147" s="63" t="s">
        <v>35</v>
      </c>
      <c r="H147" s="29" t="s">
        <v>29</v>
      </c>
      <c r="I147" s="63" t="str">
        <f t="shared" si="1"/>
        <v>0.00</v>
      </c>
      <c r="J147" s="63" t="str">
        <f>IF($B$18=2,"0.0000","0.00")</f>
        <v>0.00</v>
      </c>
    </row>
    <row r="148" spans="1:10" ht="12.75">
      <c r="A148" s="63" t="s">
        <v>38</v>
      </c>
      <c r="C148" s="63">
        <v>3</v>
      </c>
      <c r="D148" s="63" t="s">
        <v>176</v>
      </c>
      <c r="E148" s="63" t="s">
        <v>178</v>
      </c>
      <c r="F148" s="63" t="s">
        <v>35</v>
      </c>
      <c r="H148" s="29" t="s">
        <v>29</v>
      </c>
      <c r="I148" s="63" t="str">
        <f t="shared" si="1"/>
        <v>0.00</v>
      </c>
      <c r="J148" s="63" t="str">
        <f>IF($B$18=2,"0.0000","0.00")</f>
        <v>0.00</v>
      </c>
    </row>
    <row r="149" spans="1:10" ht="12.75">
      <c r="A149" s="63" t="s">
        <v>39</v>
      </c>
      <c r="C149" s="63">
        <v>3</v>
      </c>
      <c r="D149" s="63" t="s">
        <v>176</v>
      </c>
      <c r="E149" s="63" t="s">
        <v>178</v>
      </c>
      <c r="F149" s="63" t="s">
        <v>40</v>
      </c>
      <c r="H149" s="29" t="s">
        <v>29</v>
      </c>
      <c r="I149" s="63" t="str">
        <f t="shared" si="1"/>
        <v>0.00</v>
      </c>
      <c r="J149" s="63" t="str">
        <f>IF($B$18=2,"0.0000","0.00")</f>
        <v>0.00</v>
      </c>
    </row>
    <row r="150" spans="1:9" ht="12.75">
      <c r="A150" s="63" t="s">
        <v>41</v>
      </c>
      <c r="C150" s="63">
        <v>2</v>
      </c>
      <c r="D150" s="63" t="s">
        <v>176</v>
      </c>
      <c r="E150" s="63" t="s">
        <v>178</v>
      </c>
      <c r="H150" s="29" t="s">
        <v>29</v>
      </c>
      <c r="I150" s="63" t="str">
        <f t="shared" si="1"/>
        <v>0.00</v>
      </c>
    </row>
    <row r="151" spans="1:10" ht="12.75">
      <c r="A151" s="29" t="s">
        <v>108</v>
      </c>
      <c r="C151" s="63">
        <v>3</v>
      </c>
      <c r="D151" s="29" t="s">
        <v>177</v>
      </c>
      <c r="E151" s="63" t="s">
        <v>50</v>
      </c>
      <c r="F151" s="63" t="s">
        <v>51</v>
      </c>
      <c r="H151" s="29" t="s">
        <v>29</v>
      </c>
      <c r="I151" s="63" t="str">
        <f t="shared" si="1"/>
        <v>0.00</v>
      </c>
      <c r="J151" s="63" t="str">
        <f>IF($B$18=2,"0.0000","0.00")</f>
        <v>0.00</v>
      </c>
    </row>
    <row r="152" spans="1:11" ht="12.75">
      <c r="A152" s="29" t="s">
        <v>109</v>
      </c>
      <c r="C152" s="63">
        <v>4</v>
      </c>
      <c r="D152" s="29" t="s">
        <v>177</v>
      </c>
      <c r="E152" s="63" t="s">
        <v>50</v>
      </c>
      <c r="F152" s="63" t="s">
        <v>51</v>
      </c>
      <c r="G152" s="63" t="s">
        <v>5</v>
      </c>
      <c r="H152" s="29" t="s">
        <v>29</v>
      </c>
      <c r="I152" s="63" t="str">
        <f t="shared" si="1"/>
        <v>0.00</v>
      </c>
      <c r="J152" s="63" t="str">
        <f>IF($B$18=2,"0.0000","0.00")</f>
        <v>0.00</v>
      </c>
      <c r="K152" s="63" t="str">
        <f>IF($B$18=2,"0.0000","0.00")</f>
        <v>0.00</v>
      </c>
    </row>
    <row r="154" spans="1:2" ht="12.75">
      <c r="A154" s="28" t="s">
        <v>144</v>
      </c>
      <c r="B154" s="63">
        <v>4</v>
      </c>
    </row>
    <row r="155" spans="1:10" ht="12.75">
      <c r="A155" s="63" t="s">
        <v>53</v>
      </c>
      <c r="C155" s="63">
        <v>3</v>
      </c>
      <c r="D155" s="63" t="s">
        <v>1</v>
      </c>
      <c r="E155" s="63" t="s">
        <v>3</v>
      </c>
      <c r="F155" s="63" t="s">
        <v>61</v>
      </c>
      <c r="H155" s="63" t="s">
        <v>54</v>
      </c>
      <c r="I155" s="63" t="s">
        <v>55</v>
      </c>
      <c r="J155" s="63" t="s">
        <v>55</v>
      </c>
    </row>
    <row r="156" spans="1:10" ht="12.75">
      <c r="A156" s="63" t="s">
        <v>56</v>
      </c>
      <c r="C156" s="63">
        <v>3</v>
      </c>
      <c r="D156" s="63" t="s">
        <v>57</v>
      </c>
      <c r="E156" s="63" t="s">
        <v>3</v>
      </c>
      <c r="F156" s="63" t="s">
        <v>58</v>
      </c>
      <c r="H156" s="63" t="s">
        <v>29</v>
      </c>
      <c r="I156" s="63" t="s">
        <v>55</v>
      </c>
      <c r="J156" s="63" t="s">
        <v>55</v>
      </c>
    </row>
    <row r="157" spans="1:10" ht="12.75">
      <c r="A157" s="63" t="s">
        <v>59</v>
      </c>
      <c r="C157" s="63">
        <v>3</v>
      </c>
      <c r="D157" s="63" t="s">
        <v>60</v>
      </c>
      <c r="E157" s="63" t="s">
        <v>3</v>
      </c>
      <c r="F157" s="63" t="s">
        <v>61</v>
      </c>
      <c r="H157" s="63" t="s">
        <v>54</v>
      </c>
      <c r="I157" s="63" t="s">
        <v>55</v>
      </c>
      <c r="J157" s="63" t="s">
        <v>55</v>
      </c>
    </row>
    <row r="158" spans="1:9" ht="12.75">
      <c r="A158" s="63" t="s">
        <v>62</v>
      </c>
      <c r="C158" s="63">
        <v>2</v>
      </c>
      <c r="D158" s="63" t="s">
        <v>63</v>
      </c>
      <c r="E158" s="63" t="s">
        <v>3</v>
      </c>
      <c r="H158" s="63" t="s">
        <v>54</v>
      </c>
      <c r="I158" s="63" t="s">
        <v>55</v>
      </c>
    </row>
    <row r="160" spans="1:2" ht="12.75">
      <c r="A160" s="26" t="s">
        <v>64</v>
      </c>
      <c r="B160" s="63">
        <v>1</v>
      </c>
    </row>
    <row r="162" spans="1:2" ht="12.75">
      <c r="A162" s="28" t="s">
        <v>145</v>
      </c>
      <c r="B162" s="63" t="b">
        <v>0</v>
      </c>
    </row>
    <row r="164" spans="1:2" ht="12.75">
      <c r="A164" s="28" t="s">
        <v>146</v>
      </c>
      <c r="B164" s="63">
        <v>2</v>
      </c>
    </row>
    <row r="165" spans="1:8" ht="12.75">
      <c r="A165" s="63" t="s">
        <v>147</v>
      </c>
      <c r="C165" s="63">
        <v>1</v>
      </c>
      <c r="D165" s="63" t="s">
        <v>2</v>
      </c>
      <c r="H165" s="63" t="s">
        <v>55</v>
      </c>
    </row>
    <row r="166" spans="1:11" ht="12.75">
      <c r="A166" s="29" t="s">
        <v>149</v>
      </c>
      <c r="C166" s="63">
        <v>4</v>
      </c>
      <c r="D166" s="63" t="s">
        <v>2</v>
      </c>
      <c r="E166" s="29" t="s">
        <v>150</v>
      </c>
      <c r="F166" s="29" t="s">
        <v>152</v>
      </c>
      <c r="G166" s="29" t="s">
        <v>153</v>
      </c>
      <c r="H166" s="63" t="s">
        <v>55</v>
      </c>
      <c r="I166" s="29" t="s">
        <v>155</v>
      </c>
      <c r="J166" s="63" t="s">
        <v>55</v>
      </c>
      <c r="K166" s="63" t="s">
        <v>55</v>
      </c>
    </row>
    <row r="167" spans="1:10" ht="12.75">
      <c r="A167" s="63" t="s">
        <v>148</v>
      </c>
      <c r="C167" s="63">
        <v>3</v>
      </c>
      <c r="D167" s="63" t="s">
        <v>2</v>
      </c>
      <c r="E167" s="29" t="s">
        <v>154</v>
      </c>
      <c r="F167" s="29" t="s">
        <v>151</v>
      </c>
      <c r="H167" s="63" t="s">
        <v>55</v>
      </c>
      <c r="I167" s="63" t="s">
        <v>55</v>
      </c>
      <c r="J167" s="63" t="s">
        <v>55</v>
      </c>
    </row>
    <row r="176" spans="1:2" ht="12.75">
      <c r="A176" s="28" t="s">
        <v>181</v>
      </c>
      <c r="B176" s="63">
        <v>1</v>
      </c>
    </row>
    <row r="177" spans="1:10" ht="12.75">
      <c r="A177" s="63" t="s">
        <v>53</v>
      </c>
      <c r="C177" s="63">
        <v>3</v>
      </c>
      <c r="D177" s="63" t="s">
        <v>1</v>
      </c>
      <c r="E177" s="63" t="s">
        <v>3</v>
      </c>
      <c r="F177" s="63" t="s">
        <v>61</v>
      </c>
      <c r="H177" s="63" t="s">
        <v>54</v>
      </c>
      <c r="I177" s="63" t="s">
        <v>55</v>
      </c>
      <c r="J177" s="63" t="s">
        <v>55</v>
      </c>
    </row>
    <row r="178" spans="1:10" ht="12.75">
      <c r="A178" s="63" t="s">
        <v>56</v>
      </c>
      <c r="C178" s="63">
        <v>3</v>
      </c>
      <c r="D178" s="63" t="s">
        <v>57</v>
      </c>
      <c r="E178" s="63" t="s">
        <v>3</v>
      </c>
      <c r="F178" s="63" t="s">
        <v>58</v>
      </c>
      <c r="H178" s="63" t="s">
        <v>29</v>
      </c>
      <c r="I178" s="63" t="s">
        <v>55</v>
      </c>
      <c r="J178" s="63" t="s">
        <v>55</v>
      </c>
    </row>
    <row r="179" spans="1:10" ht="12.75">
      <c r="A179" s="63" t="s">
        <v>59</v>
      </c>
      <c r="C179" s="63">
        <v>3</v>
      </c>
      <c r="D179" s="63" t="s">
        <v>60</v>
      </c>
      <c r="E179" s="63" t="s">
        <v>3</v>
      </c>
      <c r="F179" s="63" t="s">
        <v>61</v>
      </c>
      <c r="H179" s="63" t="s">
        <v>54</v>
      </c>
      <c r="I179" s="63" t="s">
        <v>55</v>
      </c>
      <c r="J179" s="63" t="s">
        <v>55</v>
      </c>
    </row>
    <row r="180" spans="1:9" ht="12.75">
      <c r="A180" s="63" t="s">
        <v>62</v>
      </c>
      <c r="C180" s="63">
        <v>2</v>
      </c>
      <c r="D180" s="63" t="s">
        <v>63</v>
      </c>
      <c r="E180" s="63" t="s">
        <v>3</v>
      </c>
      <c r="H180" s="63" t="s">
        <v>54</v>
      </c>
      <c r="I180" s="63" t="s">
        <v>55</v>
      </c>
    </row>
    <row r="182" spans="1:2" ht="12.75">
      <c r="A182" s="26" t="s">
        <v>64</v>
      </c>
      <c r="B182" s="63">
        <v>1</v>
      </c>
    </row>
    <row r="184" spans="1:2" ht="12.75">
      <c r="A184" s="28" t="s">
        <v>146</v>
      </c>
      <c r="B184" s="63">
        <v>6</v>
      </c>
    </row>
    <row r="185" spans="1:9" ht="12.75">
      <c r="A185" s="63" t="s">
        <v>147</v>
      </c>
      <c r="C185" s="63">
        <v>1</v>
      </c>
      <c r="D185" s="63" t="s">
        <v>2</v>
      </c>
      <c r="I185" s="63" t="s">
        <v>55</v>
      </c>
    </row>
    <row r="186" spans="1:10" ht="12.75">
      <c r="A186" s="63" t="s">
        <v>182</v>
      </c>
      <c r="C186" s="63">
        <v>2</v>
      </c>
      <c r="D186" s="29" t="s">
        <v>187</v>
      </c>
      <c r="E186" s="29" t="s">
        <v>183</v>
      </c>
      <c r="I186" s="63" t="s">
        <v>55</v>
      </c>
      <c r="J186" s="29" t="s">
        <v>155</v>
      </c>
    </row>
    <row r="187" spans="1:12" ht="12.75">
      <c r="A187" s="29" t="s">
        <v>149</v>
      </c>
      <c r="C187" s="63">
        <v>4</v>
      </c>
      <c r="D187" s="29" t="s">
        <v>188</v>
      </c>
      <c r="E187" s="29" t="s">
        <v>189</v>
      </c>
      <c r="F187" s="29" t="s">
        <v>152</v>
      </c>
      <c r="G187" s="29" t="s">
        <v>153</v>
      </c>
      <c r="I187" s="63" t="s">
        <v>55</v>
      </c>
      <c r="J187" s="29" t="s">
        <v>155</v>
      </c>
      <c r="K187" s="63" t="s">
        <v>55</v>
      </c>
      <c r="L187" s="63" t="s">
        <v>55</v>
      </c>
    </row>
    <row r="188" spans="1:11" ht="12.75">
      <c r="A188" s="63" t="s">
        <v>148</v>
      </c>
      <c r="C188" s="63">
        <v>3</v>
      </c>
      <c r="D188" s="63" t="s">
        <v>2</v>
      </c>
      <c r="E188" s="29" t="s">
        <v>154</v>
      </c>
      <c r="F188" s="29" t="s">
        <v>151</v>
      </c>
      <c r="I188" s="63" t="s">
        <v>55</v>
      </c>
      <c r="J188" s="63" t="s">
        <v>55</v>
      </c>
      <c r="K188" s="63" t="s">
        <v>55</v>
      </c>
    </row>
    <row r="189" spans="1:13" ht="12.75">
      <c r="A189" s="63" t="s">
        <v>208</v>
      </c>
      <c r="C189" s="63">
        <v>5</v>
      </c>
      <c r="D189" s="29" t="s">
        <v>210</v>
      </c>
      <c r="E189" s="29" t="s">
        <v>211</v>
      </c>
      <c r="F189" s="29" t="s">
        <v>212</v>
      </c>
      <c r="G189" s="29" t="s">
        <v>213</v>
      </c>
      <c r="H189" s="29" t="s">
        <v>214</v>
      </c>
      <c r="I189" s="63" t="s">
        <v>55</v>
      </c>
      <c r="J189" s="63" t="s">
        <v>55</v>
      </c>
      <c r="K189" s="29" t="s">
        <v>29</v>
      </c>
      <c r="L189" s="29" t="s">
        <v>29</v>
      </c>
      <c r="M189" s="29" t="s">
        <v>29</v>
      </c>
    </row>
    <row r="190" spans="1:12" ht="12.75">
      <c r="A190" s="63" t="s">
        <v>209</v>
      </c>
      <c r="C190" s="63">
        <v>4</v>
      </c>
      <c r="D190" s="29" t="s">
        <v>210</v>
      </c>
      <c r="E190" s="29" t="s">
        <v>215</v>
      </c>
      <c r="F190" s="29" t="s">
        <v>216</v>
      </c>
      <c r="G190" s="29" t="s">
        <v>214</v>
      </c>
      <c r="I190" s="63" t="s">
        <v>55</v>
      </c>
      <c r="J190" s="29" t="s">
        <v>29</v>
      </c>
      <c r="K190" s="29" t="s">
        <v>29</v>
      </c>
      <c r="L190" s="29" t="s">
        <v>29</v>
      </c>
    </row>
    <row r="192" spans="1:2" ht="12.75">
      <c r="A192" s="28" t="s">
        <v>185</v>
      </c>
      <c r="B192" s="63">
        <v>2</v>
      </c>
    </row>
    <row r="193" ht="12.75">
      <c r="A193" s="63" t="s">
        <v>73</v>
      </c>
    </row>
    <row r="194" ht="12.75">
      <c r="A194" s="63" t="s">
        <v>184</v>
      </c>
    </row>
    <row r="195" ht="12.75">
      <c r="A195" s="63" t="s">
        <v>74</v>
      </c>
    </row>
    <row r="196" ht="12.75">
      <c r="A196" s="63" t="s">
        <v>75</v>
      </c>
    </row>
    <row r="197" ht="12.75">
      <c r="A197" s="63" t="s">
        <v>76</v>
      </c>
    </row>
    <row r="198" ht="12.75">
      <c r="A198" s="63" t="s">
        <v>77</v>
      </c>
    </row>
    <row r="199" ht="12.75">
      <c r="A199" s="63" t="s">
        <v>78</v>
      </c>
    </row>
    <row r="201" spans="1:2" ht="12.75">
      <c r="A201"/>
      <c r="B201"/>
    </row>
    <row r="204" spans="1:5" ht="12.75">
      <c r="A204" s="28" t="s">
        <v>204</v>
      </c>
      <c r="E204" s="86"/>
    </row>
    <row r="205" spans="1:6" ht="12.75">
      <c r="A205" s="28" t="s">
        <v>96</v>
      </c>
      <c r="B205" s="63">
        <v>2</v>
      </c>
      <c r="D205" s="28"/>
      <c r="F205" s="28"/>
    </row>
    <row r="207" spans="1:5" ht="12.75">
      <c r="A207" s="28" t="s">
        <v>205</v>
      </c>
      <c r="D207" s="63" t="s">
        <v>200</v>
      </c>
      <c r="E207" s="86">
        <v>2</v>
      </c>
    </row>
    <row r="208" spans="1:9" ht="12.75">
      <c r="A208" s="28" t="s">
        <v>96</v>
      </c>
      <c r="B208" s="63">
        <v>4</v>
      </c>
      <c r="D208" s="28"/>
      <c r="F208" s="29"/>
      <c r="I208" s="29"/>
    </row>
    <row r="209" spans="1:9" ht="12.75">
      <c r="A209"/>
      <c r="B209"/>
      <c r="F209" s="29"/>
      <c r="G209" s="29"/>
      <c r="I209" s="29"/>
    </row>
    <row r="211" spans="1:9" ht="12.75">
      <c r="A211" s="29"/>
      <c r="E211" s="29"/>
      <c r="F211" s="29"/>
      <c r="G211" s="29"/>
      <c r="H211" s="29"/>
      <c r="I211" s="29"/>
    </row>
    <row r="212" spans="1:9" ht="12.75">
      <c r="A212" s="29"/>
      <c r="E212" s="29"/>
      <c r="F212" s="29"/>
      <c r="G212" s="29"/>
      <c r="I212" s="29"/>
    </row>
    <row r="215" ht="12.75">
      <c r="F215" s="28"/>
    </row>
    <row r="217" spans="1:2" ht="12.75">
      <c r="A217"/>
      <c r="B217"/>
    </row>
    <row r="218" spans="1:12" ht="12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2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2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2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2.75">
      <c r="A223"/>
      <c r="B223"/>
      <c r="C223"/>
      <c r="D223"/>
      <c r="E223"/>
      <c r="F223"/>
      <c r="G223"/>
      <c r="H223"/>
      <c r="I223"/>
      <c r="J223"/>
      <c r="K223"/>
      <c r="L223"/>
    </row>
  </sheetData>
  <sheetProtection/>
  <printOptions/>
  <pageMargins left="0.75" right="0.75" top="1" bottom="1" header="0.5" footer="0.5"/>
  <pageSetup fitToHeight="1" fitToWidth="1" horizontalDpi="600" verticalDpi="600" orientation="landscape" scale="2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Derivagem calculator</dc:title>
  <dc:subject/>
  <dc:creator>Alan White</dc:creator>
  <cp:keywords/>
  <dc:description/>
  <cp:lastModifiedBy>John Hull</cp:lastModifiedBy>
  <cp:lastPrinted>2016-12-07T19:39:22Z</cp:lastPrinted>
  <dcterms:created xsi:type="dcterms:W3CDTF">1999-03-17T01:46:46Z</dcterms:created>
  <dcterms:modified xsi:type="dcterms:W3CDTF">2019-06-26T15:51:10Z</dcterms:modified>
  <cp:category/>
  <cp:version/>
  <cp:contentType/>
  <cp:contentStatus/>
</cp:coreProperties>
</file>