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4815" windowWidth="15330" windowHeight="4770" tabRatio="641" firstSheet="0" activeTab="1"/>
  </bookViews>
  <sheets>
    <sheet name="Title" sheetId="1" r:id="rId1"/>
    <sheet name="Problem 17_1" sheetId="2" r:id="rId2"/>
    <sheet name="FunctionSpecs" sheetId="3" r:id="rId3"/>
    <sheet name="A. CRR Convergence" sheetId="4" r:id="rId4"/>
    <sheet name="B. Greek Letters" sheetId="5" r:id="rId5"/>
    <sheet name="C. Delta Hedge" sheetId="6" r:id="rId6"/>
    <sheet name="D. Delta and Gamma Hedge" sheetId="7" r:id="rId7"/>
    <sheet name="E. Value at Risk" sheetId="8" r:id="rId8"/>
    <sheet name="F. Barrier Replication" sheetId="9" r:id="rId9"/>
    <sheet name="G. Trinomial Convergence" sheetId="10" r:id="rId10"/>
  </sheets>
  <definedNames>
    <definedName name="bond_compute_handler" localSheetId="6">'D. Delta and Gamma Hedge'!bond_compute_handler</definedName>
    <definedName name="bond_compute_handler">[0]!bond_compute_handler</definedName>
    <definedName name="Bond_Display_Tree" localSheetId="6">'D. Delta and Gamma Hedge'!Bond_Display_Tree</definedName>
    <definedName name="Bond_Display_Tree">[0]!Bond_Display_Tree</definedName>
    <definedName name="bond_graph_handler" localSheetId="6">'D. Delta and Gamma Hedge'!bond_graph_handler</definedName>
    <definedName name="bond_graph_handler">[0]!bond_graph_handler</definedName>
    <definedName name="bond_graph_input_formatter" localSheetId="6">'D. Delta and Gamma Hedge'!bond_graph_input_formatter</definedName>
    <definedName name="bond_graph_input_formatter">[0]!bond_graph_input_formatter</definedName>
    <definedName name="Bond_Label_Bottom">#REF!</definedName>
    <definedName name="Bond_Label_Top">#REF!</definedName>
    <definedName name="Bond_Maximum_X">#REF!</definedName>
    <definedName name="Bond_Minimum_X">#REF!</definedName>
    <definedName name="Bond_Option_Label_Bottom">#REF!</definedName>
    <definedName name="Bond_Option_Label_Top">#REF!</definedName>
    <definedName name="Bond_Option_Select" localSheetId="6">'D. Delta and Gamma Hedge'!Bond_Option_Select</definedName>
    <definedName name="Bond_Option_Select">[0]!Bond_Option_Select</definedName>
    <definedName name="Bopt_DV01">#REF!</definedName>
    <definedName name="Bopt_Gamma01">#REF!</definedName>
    <definedName name="Bopt_price">#REF!</definedName>
    <definedName name="Bopt_Vega">#REF!</definedName>
    <definedName name="Bopt_volatility">#REF!</definedName>
    <definedName name="Cap_or_Swap_Option_Select" localSheetId="6">'D. Delta and Gamma Hedge'!Cap_or_Swap_Option_Select</definedName>
    <definedName name="Cap_or_Swap_Option_Select">[0]!Cap_or_Swap_Option_Select</definedName>
    <definedName name="Cap_or_Swap_Select" localSheetId="6">'D. Delta and Gamma Hedge'!Cap_or_Swap_Select</definedName>
    <definedName name="Cap_or_Swap_Select">[0]!Cap_or_Swap_Select</definedName>
    <definedName name="Equity_compute_handler" localSheetId="6">'D. Delta and Gamma Hedge'!Equity_compute_handler</definedName>
    <definedName name="Equity_compute_handler">[0]!Equity_compute_handler</definedName>
    <definedName name="Equity_Display_Tree" localSheetId="6">'D. Delta and Gamma Hedge'!Equity_Display_Tree</definedName>
    <definedName name="Equity_Display_Tree">[0]!Equity_Display_Tree</definedName>
    <definedName name="Equity_graph_handler" localSheetId="6">'D. Delta and Gamma Hedge'!Equity_graph_handler</definedName>
    <definedName name="Equity_graph_handler">[0]!Equity_graph_handler</definedName>
    <definedName name="Equity_graph_input_formatter" localSheetId="6">'D. Delta and Gamma Hedge'!Equity_graph_input_formatter</definedName>
    <definedName name="Equity_graph_input_formatter">[0]!Equity_graph_input_formatter</definedName>
    <definedName name="Equity_Option_Select" localSheetId="6">'D. Delta and Gamma Hedge'!Equity_Option_Select</definedName>
    <definedName name="Equity_Option_Select">[0]!Equity_Option_Select</definedName>
    <definedName name="Equity_Underlying_Select" localSheetId="6">'D. Delta and Gamma Hedge'!Equity_Underlying_Select</definedName>
    <definedName name="Equity_Underlying_Select">[0]!Equity_Underlying_Select</definedName>
    <definedName name="Quoted_Bond_Price">#REF!</definedName>
    <definedName name="solver_adj" localSheetId="1" hidden="1">'Problem 17_1'!$G$13,'Problem 17_1'!$H$13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'Problem 17_1'!$G$13</definedName>
    <definedName name="solver_lhs2" localSheetId="1" hidden="1">'Problem 17_1'!$G$13</definedName>
    <definedName name="solver_lhs3" localSheetId="1" hidden="1">'Problem 17_1'!$H$13</definedName>
    <definedName name="solver_lhs4" localSheetId="1" hidden="1">'Problem 17_1'!$H$13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'Problem 17_1'!$L$18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el4" localSheetId="1" hidden="1">1</definedName>
    <definedName name="solver_rhs1" localSheetId="1" hidden="1">60</definedName>
    <definedName name="solver_rhs2" localSheetId="1" hidden="1">40</definedName>
    <definedName name="solver_rhs3" localSheetId="1" hidden="1">0.1</definedName>
    <definedName name="solver_rhs4" localSheetId="1" hidden="1">0.3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wap_compute_handler" localSheetId="6">'D. Delta and Gamma Hedge'!swap_compute_handler</definedName>
    <definedName name="swap_compute_handler">[0]!swap_compute_handler</definedName>
    <definedName name="swap_graph_handler" localSheetId="6">'D. Delta and Gamma Hedge'!swap_graph_handler</definedName>
    <definedName name="swap_graph_handler">[0]!swap_graph_handler</definedName>
    <definedName name="swap_graph_input_formatter" localSheetId="6">'D. Delta and Gamma Hedge'!swap_graph_input_formatter</definedName>
    <definedName name="swap_graph_input_formatter">[0]!swap_graph_input_formatter</definedName>
    <definedName name="TS_Bottom">#REF!</definedName>
    <definedName name="TS_Top">#REF!</definedName>
  </definedNames>
  <calcPr fullCalcOnLoad="1"/>
</workbook>
</file>

<file path=xl/sharedStrings.xml><?xml version="1.0" encoding="utf-8"?>
<sst xmlns="http://schemas.openxmlformats.org/spreadsheetml/2006/main" count="1031" uniqueCount="346">
  <si>
    <t>S</t>
  </si>
  <si>
    <t>r</t>
  </si>
  <si>
    <t>q</t>
  </si>
  <si>
    <t>vol</t>
  </si>
  <si>
    <t>Result</t>
  </si>
  <si>
    <t>Stock Price</t>
  </si>
  <si>
    <t>Strike</t>
  </si>
  <si>
    <t>nSteps</t>
  </si>
  <si>
    <t>Barrier</t>
  </si>
  <si>
    <t>Term Structure</t>
  </si>
  <si>
    <t>Start</t>
  </si>
  <si>
    <t>End</t>
  </si>
  <si>
    <t>Cap Rate</t>
  </si>
  <si>
    <t>Payment Freq</t>
  </si>
  <si>
    <t>Volatility</t>
  </si>
  <si>
    <t>Sigma</t>
  </si>
  <si>
    <t>Model</t>
  </si>
  <si>
    <t>RevRate</t>
  </si>
  <si>
    <t>Time to Ex.</t>
  </si>
  <si>
    <t>BondLife</t>
  </si>
  <si>
    <t>Coupon</t>
  </si>
  <si>
    <t>Principal</t>
  </si>
  <si>
    <t>IsCall</t>
  </si>
  <si>
    <t>IsFut</t>
  </si>
  <si>
    <t>IsAmerican</t>
  </si>
  <si>
    <t>IsCash</t>
  </si>
  <si>
    <t>IsOptionOnCall</t>
  </si>
  <si>
    <t>Life</t>
  </si>
  <si>
    <t>IsCap</t>
  </si>
  <si>
    <t>0-&gt;Price, 1-&gt;Delta, 2-&gt;Gamma, 3-&gt;Vega, 4-&gt;Theta, 5-&gt;Rho</t>
  </si>
  <si>
    <t>T</t>
  </si>
  <si>
    <t>Remaining Life</t>
  </si>
  <si>
    <t>Tree</t>
  </si>
  <si>
    <t>BS</t>
  </si>
  <si>
    <t>Analytic</t>
  </si>
  <si>
    <t>IsUp</t>
  </si>
  <si>
    <t>IsIn</t>
  </si>
  <si>
    <t>IsQuotedStrike</t>
  </si>
  <si>
    <t>Stock</t>
  </si>
  <si>
    <t>t</t>
  </si>
  <si>
    <t>Barrier Price</t>
  </si>
  <si>
    <t>A four option hedge</t>
  </si>
  <si>
    <t>A sixteen option hedge</t>
  </si>
  <si>
    <t>A better sixteen option hedge</t>
  </si>
  <si>
    <t>Int. Rate</t>
  </si>
  <si>
    <t>Maturity</t>
  </si>
  <si>
    <t>Uniform</t>
  </si>
  <si>
    <t>Normal</t>
  </si>
  <si>
    <t>Vol</t>
  </si>
  <si>
    <t>Week</t>
  </si>
  <si>
    <t>Delta</t>
  </si>
  <si>
    <t>Shares Purchased</t>
  </si>
  <si>
    <t>Number of Shares</t>
  </si>
  <si>
    <t>Cost</t>
  </si>
  <si>
    <t>Cum. Cost</t>
  </si>
  <si>
    <t>Int. Cost</t>
  </si>
  <si>
    <t>Random Numbers</t>
  </si>
  <si>
    <t>Base Case</t>
  </si>
  <si>
    <t>Antithetic Case</t>
  </si>
  <si>
    <t>Option Price</t>
  </si>
  <si>
    <t>Day</t>
  </si>
  <si>
    <t>Weekly Hedging</t>
  </si>
  <si>
    <t>Daily Hedging</t>
  </si>
  <si>
    <t>Push F9 to see a new set of results</t>
  </si>
  <si>
    <t>Hedging a call option - Table 13.2</t>
  </si>
  <si>
    <t>Payoff</t>
  </si>
  <si>
    <t>Tot. Cost</t>
  </si>
  <si>
    <t>Market Data</t>
  </si>
  <si>
    <t>Hedging Call</t>
  </si>
  <si>
    <t>Gamma</t>
  </si>
  <si>
    <t>Asset or Nothing</t>
  </si>
  <si>
    <t>Hedge Option</t>
  </si>
  <si>
    <t>Opt. Purch.</t>
  </si>
  <si>
    <t>Price</t>
  </si>
  <si>
    <t>Opt. Posn.</t>
  </si>
  <si>
    <t>Total Cost</t>
  </si>
  <si>
    <t>Net Delta</t>
  </si>
  <si>
    <t>Gamma Hedge</t>
  </si>
  <si>
    <t>Delta Hedge</t>
  </si>
  <si>
    <t>Number of shares traded</t>
  </si>
  <si>
    <t>Trading Volume</t>
  </si>
  <si>
    <t>Calls</t>
  </si>
  <si>
    <t>Shares</t>
  </si>
  <si>
    <t>Hedging a binary option with a call option</t>
  </si>
  <si>
    <t>Binary Option</t>
  </si>
  <si>
    <t>Value</t>
  </si>
  <si>
    <t>Portfolio</t>
  </si>
  <si>
    <t>Linear model</t>
  </si>
  <si>
    <t>Quadratic Model</t>
  </si>
  <si>
    <t>E(dP)</t>
  </si>
  <si>
    <t>E(dp^2)</t>
  </si>
  <si>
    <t>E(dP^3)</t>
  </si>
  <si>
    <t>mu_P</t>
  </si>
  <si>
    <t>Xi_P</t>
  </si>
  <si>
    <t>Sig_P</t>
  </si>
  <si>
    <t>w_q</t>
  </si>
  <si>
    <t>z_q</t>
  </si>
  <si>
    <t>1-Day Vol</t>
  </si>
  <si>
    <t>1-Day VaR</t>
  </si>
  <si>
    <t>Analytic VaR</t>
  </si>
  <si>
    <t>Type</t>
  </si>
  <si>
    <t>Number</t>
  </si>
  <si>
    <t>K</t>
  </si>
  <si>
    <t>Underlying</t>
  </si>
  <si>
    <t>Black Scholes</t>
  </si>
  <si>
    <t>TreeEquityOption</t>
  </si>
  <si>
    <t>Binaryoption</t>
  </si>
  <si>
    <t>BarrierOption</t>
  </si>
  <si>
    <t>AverageOption</t>
  </si>
  <si>
    <t>ChooserOption</t>
  </si>
  <si>
    <t>CompoundOption</t>
  </si>
  <si>
    <t>LookBackOption</t>
  </si>
  <si>
    <t>nsteps</t>
  </si>
  <si>
    <t>TimeSoFar</t>
  </si>
  <si>
    <t>TimeToChoice</t>
  </si>
  <si>
    <t>IsOptOnCall</t>
  </si>
  <si>
    <t>Example:</t>
  </si>
  <si>
    <t>Today</t>
  </si>
  <si>
    <t>Tmat</t>
  </si>
  <si>
    <t>Barrier Option</t>
  </si>
  <si>
    <t>Swap</t>
  </si>
  <si>
    <t>IsClean</t>
  </si>
  <si>
    <t>Bond</t>
  </si>
  <si>
    <t>HW Swaption</t>
  </si>
  <si>
    <t>Black Cap</t>
  </si>
  <si>
    <t>HW Cap</t>
  </si>
  <si>
    <t>Tree Cap</t>
  </si>
  <si>
    <t>Tree Swaption</t>
  </si>
  <si>
    <t>Black Swaption</t>
  </si>
  <si>
    <t>Black Bond Opt.</t>
  </si>
  <si>
    <t>HW Bond Opt.</t>
  </si>
  <si>
    <t>Tree Bond Opt.</t>
  </si>
  <si>
    <t>Value of this Opt.</t>
  </si>
  <si>
    <t>Number needed to Hedge</t>
  </si>
  <si>
    <t>Portfolio Value with this Opt.</t>
  </si>
  <si>
    <t>Hedge Time</t>
  </si>
  <si>
    <t>S at which value is zero</t>
  </si>
  <si>
    <t>Hedge Price</t>
  </si>
  <si>
    <t>Hedge Portfolio</t>
  </si>
  <si>
    <t>Princ.</t>
  </si>
  <si>
    <t>SwapRate</t>
  </si>
  <si>
    <t>CapRate</t>
  </si>
  <si>
    <t>SPREADSHEETS WITH 7 SAMPLE APPLICATIONS ARE INCLUDED</t>
  </si>
  <si>
    <t>Function 1: Black_Scholes(S,K,r,q,vol,T,IsCall,IsFut,Divs,Result)</t>
  </si>
  <si>
    <t>Carries out Black-Scholes calculations for European options on stocks, stock indices,currencies and futures</t>
  </si>
  <si>
    <t>Arguments:</t>
  </si>
  <si>
    <t>Asset Price</t>
  </si>
  <si>
    <t>Strike price</t>
  </si>
  <si>
    <t>Domestic risk-free rate</t>
  </si>
  <si>
    <t>Dividend yield for stock index options, foreign risk free rate for currency options (Enter 0 if this parameter not applicable)</t>
  </si>
  <si>
    <t>Volatility. BUT Enter Price if Implied Volatility is to be calculated (i.e. Result=6)</t>
  </si>
  <si>
    <t>Time to maturity (yrs)</t>
  </si>
  <si>
    <t>TRUE if call, FALSE if put</t>
  </si>
  <si>
    <t>TRUE if futures option, FALSE otherwise</t>
  </si>
  <si>
    <t>Divs</t>
  </si>
  <si>
    <t>Array containing time to dividend payment and size of dividend payment in cols 1 and 2. (Leave blank if not applicable)</t>
  </si>
  <si>
    <t>0=Price; 1=Delta; 2=Gamma; 3=Vega; 4=Theta; 5=Rho; 6=Implied Vol</t>
  </si>
  <si>
    <t>Carries out binomial tree calculations for European or American options on stocks, stock indices, currencies, and futures</t>
  </si>
  <si>
    <t>TRUE if American option, FALSE if European option</t>
  </si>
  <si>
    <t>Number of time steps on tree</t>
  </si>
  <si>
    <t>Example</t>
  </si>
  <si>
    <t>Function 3: BinaryOption(S,K,r,q,vol,T,IsCall,IsFut,Divs,IsCash,Result)</t>
  </si>
  <si>
    <t>Carries out calculations for binary options on stocks, stock indices,currencies and futures</t>
  </si>
  <si>
    <t>TRUE if Cash or Nothing, FALSE if Asset or Nothing</t>
  </si>
  <si>
    <t>(Delta of Cash or Nothing Call)</t>
  </si>
  <si>
    <t>Carries out calculations for barrier options on non-dividend-paying stocks, stock indices, currencies and futures</t>
  </si>
  <si>
    <t>H</t>
  </si>
  <si>
    <t>TRUE if Up option; FALSE if Down option</t>
  </si>
  <si>
    <t>TRUE if In option; FALSE if Out option</t>
  </si>
  <si>
    <t>(Price of down and out call option)</t>
  </si>
  <si>
    <t>Carries out calculations for Asian options on non-dividend-paying stocks, stock indices,currencies and futures</t>
  </si>
  <si>
    <t>CurrAve</t>
  </si>
  <si>
    <t>Current Average (irrelevant if a new instrument)</t>
  </si>
  <si>
    <t>Time since beginning of averaging in years (zero for a new instrument)</t>
  </si>
  <si>
    <t>Carries out calculations for chooser options on non-dividend-paying stocks, stock indices,currencies and futures</t>
  </si>
  <si>
    <t>Time until choice between call and put has to be made</t>
  </si>
  <si>
    <t>Function 7: CompoundOption(S,K1,r,q,vol,T1,IsCall,IsFut,K2,T2,IsOptionOnCall,Result)</t>
  </si>
  <si>
    <t>Carries out calculations for compound options on non-dividend-paying stocks, stock indices,currencies and futures</t>
  </si>
  <si>
    <t>K1</t>
  </si>
  <si>
    <t>First Strike Price</t>
  </si>
  <si>
    <t>T1</t>
  </si>
  <si>
    <t>Time to first exercise</t>
  </si>
  <si>
    <t>True if first option a call, FALSE if first option a put</t>
  </si>
  <si>
    <t>K2</t>
  </si>
  <si>
    <t>Second strike price</t>
  </si>
  <si>
    <t>T2</t>
  </si>
  <si>
    <t>Time to second exercise</t>
  </si>
  <si>
    <t>TRUE if second option is a call, FALSE if second option is a put</t>
  </si>
  <si>
    <t>Carries out calculations for lookback options on non-dividend-paying stocks, stock indices,currencies and futures</t>
  </si>
  <si>
    <t>TRUE if lookback call, FALSE if lookback put</t>
  </si>
  <si>
    <t>Smax</t>
  </si>
  <si>
    <t>Maximum price to date (equals to current price if a new instrument)</t>
  </si>
  <si>
    <t>Smin</t>
  </si>
  <si>
    <t>Minimum price to date (equals current price if a new instrument)</t>
  </si>
  <si>
    <t>Carries out calculations for caps and floors using Black's model</t>
  </si>
  <si>
    <t>Time (years from today) when cap starts</t>
  </si>
  <si>
    <t>Time (years from today) when cap ends</t>
  </si>
  <si>
    <t>L</t>
  </si>
  <si>
    <t>Notional amount</t>
  </si>
  <si>
    <t>Frequ</t>
  </si>
  <si>
    <t>Number of times a year cap is settled (= 12, 4, 2, or 1)</t>
  </si>
  <si>
    <t>Flat volatility. BUT enter price if implied volatility is to be calculated (i.e. Result=4)</t>
  </si>
  <si>
    <t>Zeros</t>
  </si>
  <si>
    <t>0=Price, 1=Delta, 2=Gamma, 3=Vega, 4=ImpliedVol</t>
  </si>
  <si>
    <t>Carries out calculations for caps and floors using Hull-White model</t>
  </si>
  <si>
    <t>sigma</t>
  </si>
  <si>
    <t>Short rate standard deviation. But enter price if implied sigma is to be calculated (i.e.Result=4)</t>
  </si>
  <si>
    <t>a</t>
  </si>
  <si>
    <t>Reversion rate</t>
  </si>
  <si>
    <t>TRUE if cap, FALSE if floor</t>
  </si>
  <si>
    <t>Carries out calculations for caps and floors usng a trinomial tree</t>
  </si>
  <si>
    <t>Notional Amount</t>
  </si>
  <si>
    <t>Volatility parameter</t>
  </si>
  <si>
    <t>0=Normal, 1=Lognormal</t>
  </si>
  <si>
    <t>Number of time steps</t>
  </si>
  <si>
    <t>0=Price, 1=Delta, 2=Gamma, 3=Vega, 4=Implied sigma</t>
  </si>
  <si>
    <t>Carries out calculations for swap options usng Black's model</t>
  </si>
  <si>
    <t>Time (years from today) when option matures</t>
  </si>
  <si>
    <t>Time (years from today) when underlying swap ends</t>
  </si>
  <si>
    <t>Strike Swap Rate</t>
  </si>
  <si>
    <t>Principal amount</t>
  </si>
  <si>
    <t>Frequency of payments on swap (= 12, 4, 2, or 1)</t>
  </si>
  <si>
    <t>Volatility. BUT enter price if implied volatility is to be calculated (i.e. Result=4)</t>
  </si>
  <si>
    <t>IsPayFix</t>
  </si>
  <si>
    <t>TRUE if option to pay strike swap rate, FALSE if option to receive strike swap rate</t>
  </si>
  <si>
    <t>0=Price, 1=Delta, 2=Gamma, 3=Vega, 4=Implied Volatility</t>
  </si>
  <si>
    <t>Carries out calculations for swap options using the Hull-White model</t>
  </si>
  <si>
    <t>Carries out calculations for swap options using a trinomial tree</t>
  </si>
  <si>
    <t>Carries out calculations for bond options usng Black's model</t>
  </si>
  <si>
    <t>Life of bond in years(from today)</t>
  </si>
  <si>
    <t>Coupon (rate per year)</t>
  </si>
  <si>
    <t>Bond Principal</t>
  </si>
  <si>
    <t>Frequency of payments on bond (=4, 2, or 1)</t>
  </si>
  <si>
    <t>Strike Price</t>
  </si>
  <si>
    <t xml:space="preserve">Time (in years) to option maturity  </t>
  </si>
  <si>
    <t>IsQuoted</t>
  </si>
  <si>
    <t>True if strike is a quoted price, false if strike is cash price</t>
  </si>
  <si>
    <t>Carries out calculations for bond options using Hull-White model</t>
  </si>
  <si>
    <t>Carries out calculations for bond options usng a trinomial tree</t>
  </si>
  <si>
    <t xml:space="preserve"> </t>
  </si>
  <si>
    <t>Princ</t>
  </si>
  <si>
    <t>TRUE if American option, FALSE if European</t>
  </si>
  <si>
    <t>Values a bond</t>
  </si>
  <si>
    <t>Bond principal</t>
  </si>
  <si>
    <t>Frequency of payments on bond per year (=4, 2, or 1)</t>
  </si>
  <si>
    <t>If TRUE result is the clean (quoted) price; if FALSE result is dirty (cash) price</t>
  </si>
  <si>
    <t>0=Price, 1=Delta, 2=Gamma</t>
  </si>
  <si>
    <t>Values a plain vanilla interest rate swap. Note: ignores cash flows arising from reset dates prior to Start date</t>
  </si>
  <si>
    <t>Beginning of swap (years from today)</t>
  </si>
  <si>
    <t>End of swap (years from today)</t>
  </si>
  <si>
    <t>Fixed rate that is exchange for floating (compounding frequency corresponds to Frequ)</t>
  </si>
  <si>
    <t>Notional principal</t>
  </si>
  <si>
    <t xml:space="preserve">Frequency of payments on swap per year (=12, 4, 2, or 1) </t>
  </si>
  <si>
    <t>Frequency of payments on bond per year (=12, 4, 2, or 1)</t>
  </si>
  <si>
    <t>Carries out calculations for a portfolio of options on a non-dividend-paying stock, stock index, currency, or futures</t>
  </si>
  <si>
    <t>Asset price</t>
  </si>
  <si>
    <t>TRUE if underlying is a futures price; FALSE otherwise</t>
  </si>
  <si>
    <t>Array defining portfolio. See below</t>
  </si>
  <si>
    <t>Function 6: ChooserOption(S,K,r,q,vol,T,IsFut,TimeToChoice,Result)</t>
  </si>
  <si>
    <t>Function 4: BarrierOption(S,K,r,q,vol,T,IsCall,IsFut,H,IsUp,IsIn,Result)</t>
  </si>
  <si>
    <t>Function 5: AverageOption(S,K,r,q,vol,T,IsCall,IsFut,CurrAve,TimeSoFar,Result)</t>
  </si>
  <si>
    <t xml:space="preserve">Example of Function: </t>
  </si>
  <si>
    <t>Valuation date (years from today &gt;=0)</t>
  </si>
  <si>
    <t>Function 10: BlackCap(Start,End,CapRate,L,Frequ,vol,IsCap,Zeros,Result)</t>
  </si>
  <si>
    <t>Function 11: HullWhiteCap(Start,End,CapRate,L,Frequ,sigma,a,IsCap,Zeros,Result)</t>
  </si>
  <si>
    <t>Function 12: TreeCap(Start,End,CapRate,L,Frequ,sigma,a,IsCap,Model,nsteps,Zeros,Result)</t>
  </si>
  <si>
    <t>Function 13: BlackSwapOpt(Start,End,SwapRate,L,Frequ,vol,IsPayFix,Zeros,Result)</t>
  </si>
  <si>
    <t>Function 14: HullWhiteSwapOpt(Start,End,SwapRate,L,Frequ,sigma,a,IsPayFix,Zeros,Result)</t>
  </si>
  <si>
    <t>Function 15: TreeSwapOpt(Start,End,SwapRate,L,Frequ,sigma,a,IsPayFix,Model,nSteps,Zeros,Result)</t>
  </si>
  <si>
    <t>Function 20: SwapPrice(Start, End, FixedRate,L,Frequ,Zeros,Result)</t>
  </si>
  <si>
    <t>0=Price; 1=Delta; 2=Gamma; 3=Vega; 4=Theta; 5=Rho</t>
  </si>
  <si>
    <t>0=Price; 1=Delta; 2=Gamma; 3=Vega</t>
  </si>
  <si>
    <t>Function 21: IPortfolio(t,Zeros,Nsigma,Na,LNsigma,LNa, Portfolio,Result)</t>
  </si>
  <si>
    <t>Nsigma</t>
  </si>
  <si>
    <t>sigma parameter to be used with normal model</t>
  </si>
  <si>
    <t>Na</t>
  </si>
  <si>
    <t>reversion rate parameter to be used with normal model</t>
  </si>
  <si>
    <t>LNsigma</t>
  </si>
  <si>
    <t>sigma parameter to be used with lognormal model</t>
  </si>
  <si>
    <t>reversion rate parameter to be used with lognormal model</t>
  </si>
  <si>
    <t>LNa</t>
  </si>
  <si>
    <t>FixedRate</t>
  </si>
  <si>
    <t>Function 2: TreeEquityOpt(S,K,r,q,vol,T,IsCall,IsFut,Divs,IsAmerican,nSteps,Result)</t>
  </si>
  <si>
    <t>Function 16: BlackBondOpt(BondLife,Coupon,Princ,Frequ,K,T,vol,IsCall,IsQuoted,Zeros,Result)</t>
  </si>
  <si>
    <t>Function 17: HullWhiteBondOpt(BondLife,Coupon,Princ,Frequ,K,T,sigma,a, IsCall,IsQuoted,Zeros,Result)</t>
  </si>
  <si>
    <t>Portfolio definition:</t>
  </si>
  <si>
    <t>Sample Portfolio</t>
  </si>
  <si>
    <t>Function 9: EPortfolio(t,S,IsFut,r,q,Divs,vol,Portfolio,Result)</t>
  </si>
  <si>
    <t>TRUE if cap, FALSE if Floor</t>
  </si>
  <si>
    <t xml:space="preserve">          Dividends</t>
  </si>
  <si>
    <t>Array containing zero curve: Maturities in the first column and corresponding zero rates in second column</t>
  </si>
  <si>
    <t>CONVERGENCE OF BINOMIAL TREE PRICE OF EUROPEAN OPTION TO BLACK-SCHOLES PRICE</t>
  </si>
  <si>
    <t>PLOTS OF GREEK LETTERS</t>
  </si>
  <si>
    <t>Uses Monte Carlo Simulation with the antithetic variable technique so that two trials are generated when F9 is pressed</t>
  </si>
  <si>
    <t>INVESTIGATES THE EFFECTIVENESS OF DELTA AND GAMMA HEDGING FOR A WRITTEN OPTION</t>
  </si>
  <si>
    <t>INVESTIGATES THE EFFECTIVENESS OF DELTA HEDGING FOR A WRITTEN OPTION</t>
  </si>
  <si>
    <t>Prob&lt;S</t>
  </si>
  <si>
    <t>We calculate the analytic VaR by generating 1000 equally likely portfolio values</t>
  </si>
  <si>
    <t>CALCULATION OF A STATIC OPTIONS REPLICATION POSITION</t>
  </si>
  <si>
    <t>TESTS CONVERGENCE OF TRINOMIAL TREE FOR A EUROPEAN BOND OPTION</t>
  </si>
  <si>
    <t>VALUE AT RISK CALCULATION FOR PORTFOLIO OF OPTIONS DEPENDENT ON A SINGLE STOCK</t>
  </si>
  <si>
    <t xml:space="preserve">    THE DERIVAGEM APPLICATIONS BUILDER  CONTAINS 21 FUNCTIONS FROM WHICH USERS CAN BUILD THEIR OWN APPLICATIONS</t>
  </si>
  <si>
    <t>Function 18: TreeBondOpt(BondLife,Coupon,Princ,Frequ,K,T,sigma,a, IsCall,IsQuoted,IsAmerican,Model,nSteps,Zeros,Result)</t>
  </si>
  <si>
    <t>Function 19: BondPrice(BondLife, Coupon, Princ, Frequ, Zeros, IsClean, Result)</t>
  </si>
  <si>
    <t>Base</t>
  </si>
  <si>
    <t>Antithetic</t>
  </si>
  <si>
    <t>Portfolio without this Opt.</t>
  </si>
  <si>
    <t>This is the Applications Builder Software that has been designed to</t>
  </si>
  <si>
    <t>accompany John Hull's texts:</t>
  </si>
  <si>
    <t>and</t>
  </si>
  <si>
    <t>before using this software</t>
  </si>
  <si>
    <t>This software was developed for educational purposes by A-J Financial Systems, Inc.</t>
  </si>
  <si>
    <t>For Excel 2000 and more recent versions of Excel</t>
  </si>
  <si>
    <t>"Fundamentals of Futures and Options Markets" 6/E</t>
  </si>
  <si>
    <t>Return</t>
  </si>
  <si>
    <t>0 = Price</t>
  </si>
  <si>
    <t>1 = Delta</t>
  </si>
  <si>
    <t>2 = Gamma</t>
  </si>
  <si>
    <t>3 = Vega</t>
  </si>
  <si>
    <t>IsFixedLookback</t>
  </si>
  <si>
    <t>TRUE for fixed lookback</t>
  </si>
  <si>
    <t>Function 8: LookbackOption(S,r,q,vol,T,IsCall,IsFut,IsFixedLookback,Smax,Smin,K,Result)</t>
  </si>
  <si>
    <t>Strike price for Fixed Lookback; Ignored otherwise</t>
  </si>
  <si>
    <t>DerivaGem - Version 1.52</t>
  </si>
  <si>
    <t xml:space="preserve">    Figure 19.4 in Options, Futures, and Other Derivatives, 7e (and 16.4 in Fundamentals 6e) shows a similar result for an American option</t>
  </si>
  <si>
    <t xml:space="preserve">   Problem 19.30 in Options, Futures and Other Derivatives, 7e (and 16.7 in Fundamentals 6e) is based on this application</t>
  </si>
  <si>
    <t>Problem 17.30 in Options, Futures, and Other Derivatives, 7e (and 15.28 in Fundamentals, 6e) is based on this application</t>
  </si>
  <si>
    <t>See Tables 17.2 and 17.3 in Options, Futures, and Other Derivatives, 7e (and Tables 15.2 and 15.3 in Fundamentals, 6e)</t>
  </si>
  <si>
    <t>Problem 24.31 in Options, Futures, and Other Derivatives, 7e is based on this application</t>
  </si>
  <si>
    <t>Uses Results in Chapter 20 of Options, Futures and Other Derivatives, 7e</t>
  </si>
  <si>
    <t>Problem 20.21 in Options, Futures and Other Derivatives, 7e is based on this application</t>
  </si>
  <si>
    <t>Carries out calculations for the example in Section 24.14 of Options, Futures and Other Derivatives, 7e</t>
  </si>
  <si>
    <t>Problem 24.27 in Options, Futures, and Other Derivatives, 7e is based on this application</t>
  </si>
  <si>
    <t>Problem 30.26 in Options, Futures, and Other Derivatives, 7e is based on this application</t>
  </si>
  <si>
    <t xml:space="preserve">This carries out calculations for Example 30.1 in Options, Futures, and Other Derivatives, 7e </t>
  </si>
  <si>
    <t>"Options, Futures and Other Derivatives" 7/E</t>
  </si>
  <si>
    <t>Both books are published by Pearson Prentice Hall. They can be ordered from outlets such as</t>
  </si>
  <si>
    <t>Amazon.com or directly from the publisher at http://www.prenhall.com/mischtm/support_fr.html</t>
  </si>
  <si>
    <r>
      <t>Note</t>
    </r>
    <r>
      <rPr>
        <sz val="12"/>
        <rFont val="Times New Roman"/>
        <family val="1"/>
      </rPr>
      <t>: You should familiarize yourself with the Options Calculator Software in DG152.xls</t>
    </r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</si>
  <si>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</si>
  <si>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</si>
  <si>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>Position</t>
  </si>
  <si>
    <t>New S</t>
  </si>
  <si>
    <t>New sig</t>
  </si>
  <si>
    <t>New Val</t>
  </si>
  <si>
    <t>Gain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</si>
</sst>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0"/>
    <numFmt numFmtId="179" formatCode="ddmmyy"/>
    <numFmt numFmtId="180" formatCode="dd/mm/yy"/>
    <numFmt numFmtId="181" formatCode="0.000%"/>
    <numFmt numFmtId="182" formatCode="0.0000%"/>
    <numFmt numFmtId="183" formatCode="0.0000000%"/>
    <numFmt numFmtId="184" formatCode="0.000000%"/>
    <numFmt numFmtId="185" formatCode="0.00000%"/>
    <numFmt numFmtId="186" formatCode="0.000"/>
    <numFmt numFmtId="187" formatCode="0.0"/>
    <numFmt numFmtId="188" formatCode="\F\o\rm\a\ts:"/>
    <numFmt numFmtId="189" formatCode="0.00000"/>
    <numFmt numFmtId="190" formatCode="0.0000E+00"/>
    <numFmt numFmtId="191" formatCode="0.000E+00"/>
    <numFmt numFmtId="192" formatCode="0.0%"/>
    <numFmt numFmtId="193" formatCode="0.00000000"/>
    <numFmt numFmtId="194" formatCode="0.0000000"/>
    <numFmt numFmtId="195" formatCode="0.000000"/>
    <numFmt numFmtId="196" formatCode="#,##0.0"/>
    <numFmt numFmtId="197" formatCode="0.000000000"/>
    <numFmt numFmtId="198" formatCode="#,##0.00000000000"/>
    <numFmt numFmtId="199" formatCode="0.0000000000000000"/>
    <numFmt numFmtId="200" formatCode="0.000000000000000"/>
    <numFmt numFmtId="201" formatCode="0.0000000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  <family val="2"/>
    </font>
    <font>
      <sz val="10.5"/>
      <color indexed="8"/>
      <name val="Arial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sz val="7.55"/>
      <color indexed="8"/>
      <name val="Arial"/>
      <family val="2"/>
    </font>
    <font>
      <sz val="8.8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81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8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9" fontId="0" fillId="0" borderId="23" xfId="0" applyNumberFormat="1" applyBorder="1" applyAlignment="1">
      <alignment horizontal="center"/>
    </xf>
    <xf numFmtId="189" fontId="0" fillId="0" borderId="2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25" xfId="0" applyBorder="1" applyAlignment="1" quotePrefix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8" xfId="0" applyFont="1" applyBorder="1" applyAlignment="1" quotePrefix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3" fontId="0" fillId="0" borderId="18" xfId="0" applyNumberFormat="1" applyBorder="1" applyAlignment="1">
      <alignment horizontal="center"/>
    </xf>
    <xf numFmtId="186" fontId="0" fillId="0" borderId="34" xfId="0" applyNumberFormat="1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87" fontId="0" fillId="0" borderId="18" xfId="0" applyNumberFormat="1" applyBorder="1" applyAlignment="1">
      <alignment horizontal="center"/>
    </xf>
    <xf numFmtId="187" fontId="0" fillId="0" borderId="19" xfId="0" applyNumberFormat="1" applyBorder="1" applyAlignment="1">
      <alignment horizontal="center"/>
    </xf>
    <xf numFmtId="187" fontId="0" fillId="0" borderId="34" xfId="0" applyNumberFormat="1" applyBorder="1" applyAlignment="1">
      <alignment horizontal="center"/>
    </xf>
    <xf numFmtId="187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178" fontId="0" fillId="0" borderId="36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8" fontId="0" fillId="0" borderId="38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9" xfId="0" applyBorder="1" applyAlignment="1" quotePrefix="1">
      <alignment horizontal="center" wrapText="1"/>
    </xf>
    <xf numFmtId="186" fontId="0" fillId="0" borderId="13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186" fontId="0" fillId="0" borderId="10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0" fontId="0" fillId="0" borderId="27" xfId="0" applyBorder="1" applyAlignment="1" quotePrefix="1">
      <alignment horizontal="center" wrapText="1"/>
    </xf>
    <xf numFmtId="0" fontId="0" fillId="0" borderId="12" xfId="0" applyBorder="1" applyAlignment="1">
      <alignment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Alignment="1" quotePrefix="1">
      <alignment horizontal="left"/>
    </xf>
    <xf numFmtId="3" fontId="0" fillId="0" borderId="37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11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7" xfId="0" applyFont="1" applyBorder="1" applyAlignment="1" quotePrefix="1">
      <alignment horizontal="left"/>
    </xf>
    <xf numFmtId="2" fontId="1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40" xfId="0" applyFont="1" applyBorder="1" applyAlignment="1">
      <alignment/>
    </xf>
    <xf numFmtId="0" fontId="1" fillId="0" borderId="44" xfId="0" applyFont="1" applyBorder="1" applyAlignment="1" quotePrefix="1">
      <alignment horizontal="left"/>
    </xf>
    <xf numFmtId="2" fontId="1" fillId="0" borderId="4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 quotePrefix="1">
      <alignment horizontal="left"/>
    </xf>
    <xf numFmtId="2" fontId="1" fillId="0" borderId="16" xfId="0" applyNumberFormat="1" applyFont="1" applyBorder="1" applyAlignment="1">
      <alignment horizontal="center"/>
    </xf>
    <xf numFmtId="197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1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178" fontId="0" fillId="0" borderId="46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0" fontId="8" fillId="33" borderId="0" xfId="0" applyFont="1" applyFill="1" applyAlignment="1">
      <alignment/>
    </xf>
    <xf numFmtId="0" fontId="1" fillId="0" borderId="3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8" fillId="34" borderId="10" xfId="0" applyFont="1" applyFill="1" applyBorder="1" applyAlignment="1" quotePrefix="1">
      <alignment horizontal="center"/>
    </xf>
    <xf numFmtId="0" fontId="8" fillId="34" borderId="0" xfId="0" applyFont="1" applyFill="1" applyBorder="1" applyAlignment="1" quotePrefix="1">
      <alignment horizontal="center"/>
    </xf>
    <xf numFmtId="0" fontId="8" fillId="34" borderId="13" xfId="0" applyFont="1" applyFill="1" applyBorder="1" applyAlignment="1" quotePrefix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3" fillId="34" borderId="10" xfId="0" applyFont="1" applyFill="1" applyBorder="1" applyAlignment="1" quotePrefix="1">
      <alignment horizontal="center"/>
    </xf>
    <xf numFmtId="0" fontId="12" fillId="34" borderId="0" xfId="0" applyFont="1" applyFill="1" applyBorder="1" applyAlignment="1" quotePrefix="1">
      <alignment horizontal="center"/>
    </xf>
    <xf numFmtId="0" fontId="12" fillId="34" borderId="13" xfId="0" applyFont="1" applyFill="1" applyBorder="1" applyAlignment="1" quotePrefix="1">
      <alignment horizontal="center"/>
    </xf>
    <xf numFmtId="0" fontId="12" fillId="34" borderId="10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61" fillId="34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 quotePrefix="1">
      <alignment horizontal="center"/>
    </xf>
    <xf numFmtId="0" fontId="10" fillId="34" borderId="0" xfId="0" applyFont="1" applyFill="1" applyBorder="1" applyAlignment="1" quotePrefix="1">
      <alignment horizontal="center"/>
    </xf>
    <xf numFmtId="0" fontId="10" fillId="34" borderId="13" xfId="0" applyFont="1" applyFill="1" applyBorder="1" applyAlignment="1" quotePrefix="1">
      <alignment horizontal="center"/>
    </xf>
    <xf numFmtId="0" fontId="11" fillId="34" borderId="10" xfId="0" applyFont="1" applyFill="1" applyBorder="1" applyAlignment="1" quotePrefix="1">
      <alignment horizontal="center"/>
    </xf>
    <xf numFmtId="0" fontId="11" fillId="34" borderId="0" xfId="0" applyFont="1" applyFill="1" applyBorder="1" applyAlignment="1" quotePrefix="1">
      <alignment horizontal="center"/>
    </xf>
    <xf numFmtId="0" fontId="11" fillId="34" borderId="13" xfId="0" applyFont="1" applyFill="1" applyBorder="1" applyAlignment="1" quotePrefix="1">
      <alignment horizontal="center"/>
    </xf>
    <xf numFmtId="0" fontId="9" fillId="34" borderId="11" xfId="0" applyFont="1" applyFill="1" applyBorder="1" applyAlignment="1" quotePrefix="1">
      <alignment horizontal="center"/>
    </xf>
    <xf numFmtId="0" fontId="9" fillId="34" borderId="16" xfId="0" applyFont="1" applyFill="1" applyBorder="1" applyAlignment="1" quotePrefix="1">
      <alignment horizontal="center"/>
    </xf>
    <xf numFmtId="0" fontId="9" fillId="34" borderId="12" xfId="0" applyFont="1" applyFill="1" applyBorder="1" applyAlignment="1" quotePrefix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Convergence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5"/>
          <c:w val="0.9467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'A. CRR Convergence'!$C$23</c:f>
              <c:strCache>
                <c:ptCount val="1"/>
                <c:pt idx="0">
                  <c:v>Tree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'A. CRR Convergence'!$B$24:$B$72</c:f>
              <c:numCache/>
            </c:numRef>
          </c:cat>
          <c:val>
            <c:numRef>
              <c:f>'A. CRR Convergence'!$C$24:$C$72</c:f>
              <c:numCache/>
            </c:numRef>
          </c:val>
          <c:smooth val="0"/>
        </c:ser>
        <c:ser>
          <c:idx val="1"/>
          <c:order val="1"/>
          <c:tx>
            <c:strRef>
              <c:f>'A. CRR Convergence'!$D$23</c:f>
              <c:strCache>
                <c:ptCount val="1"/>
                <c:pt idx="0">
                  <c:v>BS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'A. CRR Convergence'!$B$24:$B$72</c:f>
              <c:numCache/>
            </c:numRef>
          </c:cat>
          <c:val>
            <c:numRef>
              <c:f>'A. CRR Convergence'!$D$24:$D$72</c:f>
              <c:numCache/>
            </c:numRef>
          </c:val>
          <c:smooth val="1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nSteps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tickLblSkip val="4"/>
        <c:noMultiLvlLbl val="0"/>
      </c:catAx>
      <c:valAx>
        <c:axId val="19589912"/>
        <c:scaling>
          <c:orientation val="minMax"/>
          <c:max val="8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75"/>
          <c:y val="0.21825"/>
          <c:w val="0.099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Plot of price, delta, gamma, vega, theta or rho
vs stock price for Black-Scholes model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05"/>
          <c:w val="0.945"/>
          <c:h val="0.8375"/>
        </c:manualLayout>
      </c:layout>
      <c:scatterChart>
        <c:scatterStyle val="line"/>
        <c:varyColors val="0"/>
        <c:ser>
          <c:idx val="0"/>
          <c:order val="0"/>
          <c:tx>
            <c:strRef>
              <c:f>'B. Greek Letters'!$B$12</c:f>
              <c:strCache>
                <c:ptCount val="1"/>
                <c:pt idx="0">
                  <c:v>Result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Greek Letters'!$A$13:$A$58</c:f>
              <c:numCache/>
            </c:numRef>
          </c:xVal>
          <c:yVal>
            <c:numRef>
              <c:f>'B. Greek Letters'!$B$13:$B$58</c:f>
              <c:numCache/>
            </c:numRef>
          </c:yVal>
          <c:smooth val="0"/>
        </c:ser>
        <c:axId val="42091481"/>
        <c:axId val="43279010"/>
      </c:scatterChart>
      <c:valAx>
        <c:axId val="4209148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 val="autoZero"/>
        <c:crossBetween val="midCat"/>
        <c:dispUnits/>
      </c:valAx>
      <c:valAx>
        <c:axId val="43279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Plot of price, delta, gamma, vega, theta or rho
vs time to maturity for Black-Scholes model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525"/>
          <c:w val="0.9272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'B. Greek Letters'!$J$12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Greek Letters'!$I$13:$I$50</c:f>
              <c:numCache/>
            </c:numRef>
          </c:xVal>
          <c:yVal>
            <c:numRef>
              <c:f>'B. Greek Letters'!$J$13:$J$50</c:f>
              <c:numCache/>
            </c:numRef>
          </c:yVal>
          <c:smooth val="0"/>
        </c:ser>
        <c:ser>
          <c:idx val="1"/>
          <c:order val="1"/>
          <c:tx>
            <c:strRef>
              <c:f>'B. Greek Letters'!$K$12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Greek Letters'!$I$13:$I$50</c:f>
              <c:numCache/>
            </c:numRef>
          </c:xVal>
          <c:yVal>
            <c:numRef>
              <c:f>'B. Greek Letters'!$K$13:$K$50</c:f>
              <c:numCache/>
            </c:numRef>
          </c:yVal>
          <c:smooth val="0"/>
        </c:ser>
        <c:ser>
          <c:idx val="2"/>
          <c:order val="2"/>
          <c:tx>
            <c:strRef>
              <c:f>'B. Greek Letters'!$L$12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Greek Letters'!$I$13:$I$50</c:f>
              <c:numCache/>
            </c:numRef>
          </c:xVal>
          <c:yVal>
            <c:numRef>
              <c:f>'B. Greek Letters'!$L$13:$L$50</c:f>
              <c:numCache/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 val="autoZero"/>
        <c:crossBetween val="midCat"/>
        <c:dispUnits/>
      </c:valAx>
      <c:valAx>
        <c:axId val="15938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37"/>
          <c:w val="0.129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6"/>
          <c:w val="0.93175"/>
          <c:h val="0.88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'E. Value at Risk'!$B$30:$B$1028</c:f>
              <c:numCache/>
            </c:numRef>
          </c:xVal>
          <c:yVal>
            <c:numRef>
              <c:f>'E. Value at Risk'!$C$30:$C$1028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'E. Value at Risk'!$B$30:$B$1028</c:f>
              <c:numCache/>
            </c:numRef>
          </c:xVal>
          <c:yVal>
            <c:numRef>
              <c:f>'E. Value at Risk'!$D$30:$D$1028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 Value at Risk'!$B$30:$B$1028</c:f>
              <c:numCache/>
            </c:numRef>
          </c:xVal>
          <c:yVal>
            <c:numRef>
              <c:f>'E. Value at Risk'!$E$30:$E$1028</c:f>
              <c:numCache/>
            </c:numRef>
          </c:yVal>
          <c:smooth val="1"/>
        </c:ser>
        <c:axId val="9232301"/>
        <c:axId val="15981846"/>
      </c:scatterChart>
      <c:valAx>
        <c:axId val="923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Asset Price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 val="autoZero"/>
        <c:crossBetween val="midCat"/>
        <c:dispUnits/>
      </c:val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Trinomial Convergence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825"/>
          <c:w val="0.93125"/>
          <c:h val="0.7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'G. Trinomial Convergence'!$E$23</c:f>
              <c:strCache>
                <c:ptCount val="1"/>
                <c:pt idx="0">
                  <c:v>Tree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 Trinomial Convergence'!$D$24:$D$99</c:f>
              <c:numCache/>
            </c:numRef>
          </c:xVal>
          <c:yVal>
            <c:numRef>
              <c:f>'G. Trinomial Convergence'!$E$24:$E$99</c:f>
              <c:numCache/>
            </c:numRef>
          </c:yVal>
          <c:smooth val="1"/>
        </c:ser>
        <c:ser>
          <c:idx val="1"/>
          <c:order val="1"/>
          <c:tx>
            <c:strRef>
              <c:f>'G. Trinomial Convergence'!$F$23</c:f>
              <c:strCache>
                <c:ptCount val="1"/>
                <c:pt idx="0">
                  <c:v>Analytic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 Trinomial Convergence'!$D$24:$D$99</c:f>
              <c:numCache/>
            </c:numRef>
          </c:xVal>
          <c:yVal>
            <c:numRef>
              <c:f>'G. Trinomial Convergence'!$F$24:$F$99</c:f>
              <c:numCache/>
            </c:numRef>
          </c:yVal>
          <c:smooth val="1"/>
        </c:ser>
        <c:axId val="9618887"/>
        <c:axId val="19461120"/>
      </c:scatterChart>
      <c:valAx>
        <c:axId val="961888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nSteps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crossBetween val="midCat"/>
        <c:dispUnits/>
        <c:minorUnit val="5"/>
      </c:valAx>
      <c:valAx>
        <c:axId val="1946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33775"/>
          <c:w val="0.178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9525</xdr:rowOff>
    </xdr:from>
    <xdr:to>
      <xdr:col>11</xdr:col>
      <xdr:colOff>571500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48200" y="171450"/>
          <a:ext cx="2628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used to search for the values in cells G13 and H13 that minimize cell L18. Note that there was a typo in Example 17.1 in the first printing of the book. See Errata on the author's web site. When lower bound to volatility is set as 20% in Solver the worst loss is 87.19.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152400</xdr:rowOff>
    </xdr:from>
    <xdr:to>
      <xdr:col>14</xdr:col>
      <xdr:colOff>390525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086100" y="914400"/>
        <a:ext cx="6229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11</xdr:row>
      <xdr:rowOff>28575</xdr:rowOff>
    </xdr:from>
    <xdr:to>
      <xdr:col>7</xdr:col>
      <xdr:colOff>466725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333500" y="1857375"/>
        <a:ext cx="3552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13</xdr:row>
      <xdr:rowOff>142875</xdr:rowOff>
    </xdr:from>
    <xdr:to>
      <xdr:col>18</xdr:col>
      <xdr:colOff>457200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7962900" y="2305050"/>
        <a:ext cx="3838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27</xdr:row>
      <xdr:rowOff>28575</xdr:rowOff>
    </xdr:from>
    <xdr:to>
      <xdr:col>14</xdr:col>
      <xdr:colOff>533400</xdr:colOff>
      <xdr:row>50</xdr:row>
      <xdr:rowOff>66675</xdr:rowOff>
    </xdr:to>
    <xdr:graphicFrame>
      <xdr:nvGraphicFramePr>
        <xdr:cNvPr id="1" name="Chart 426"/>
        <xdr:cNvGraphicFramePr/>
      </xdr:nvGraphicFramePr>
      <xdr:xfrm>
        <a:off x="4267200" y="4619625"/>
        <a:ext cx="62293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4</xdr:row>
      <xdr:rowOff>66675</xdr:rowOff>
    </xdr:from>
    <xdr:to>
      <xdr:col>14</xdr:col>
      <xdr:colOff>466725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152900" y="838200"/>
        <a:ext cx="48482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62" customWidth="1"/>
    <col min="2" max="16384" width="9.140625" style="162" customWidth="1"/>
  </cols>
  <sheetData>
    <row r="2" ht="13.5" thickBot="1"/>
    <row r="3" spans="2:12" ht="30.75">
      <c r="B3" s="188" t="s">
        <v>323</v>
      </c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2:12" ht="12.75">
      <c r="B4" s="168" t="s">
        <v>312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20.25">
      <c r="B5" s="182" t="s">
        <v>307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20.25">
      <c r="B6" s="182" t="s">
        <v>308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ht="12.75"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80"/>
    </row>
    <row r="8" spans="2:12" ht="23.25">
      <c r="B8" s="185" t="s">
        <v>335</v>
      </c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2:12" ht="20.25">
      <c r="B9" s="182" t="s">
        <v>309</v>
      </c>
      <c r="C9" s="183"/>
      <c r="D9" s="183"/>
      <c r="E9" s="183"/>
      <c r="F9" s="183"/>
      <c r="G9" s="183"/>
      <c r="H9" s="183"/>
      <c r="I9" s="183"/>
      <c r="J9" s="183"/>
      <c r="K9" s="183"/>
      <c r="L9" s="184"/>
    </row>
    <row r="10" spans="2:12" ht="23.25">
      <c r="B10" s="185" t="s">
        <v>313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7"/>
    </row>
    <row r="11" spans="2:12" ht="12.75"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2:12" ht="15.75">
      <c r="B12" s="177" t="s">
        <v>336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77" t="s">
        <v>337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2:12" ht="12.75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80"/>
    </row>
    <row r="15" spans="2:12" ht="15.75">
      <c r="B15" s="174" t="s">
        <v>338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2:12" ht="15.75">
      <c r="B16" s="177" t="s">
        <v>310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2:12" ht="12.75"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80"/>
    </row>
    <row r="18" spans="2:12" ht="15.75">
      <c r="B18" s="174" t="s">
        <v>339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6"/>
    </row>
    <row r="19" spans="2:12" ht="15.75">
      <c r="B19" s="181" t="s">
        <v>340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ht="12.75"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80"/>
    </row>
    <row r="21" spans="2:12" ht="12.75">
      <c r="B21" s="168" t="s">
        <v>311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70"/>
    </row>
    <row r="22" spans="2:12" ht="13.5" thickBot="1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</sheetData>
  <sheetProtection password="9EFD" sheet="1" objects="1" scenarios="1"/>
  <mergeCells count="20">
    <mergeCell ref="B3:L3"/>
    <mergeCell ref="B4:L4"/>
    <mergeCell ref="B5:L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21:L21"/>
    <mergeCell ref="B22:L22"/>
    <mergeCell ref="B15:L15"/>
    <mergeCell ref="B16:L16"/>
    <mergeCell ref="B17:L17"/>
    <mergeCell ref="B18:L18"/>
    <mergeCell ref="B19:L19"/>
    <mergeCell ref="B20:L2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M99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13" ht="15.75">
      <c r="A1" s="125"/>
      <c r="B1" s="125"/>
      <c r="C1" s="125"/>
      <c r="D1" s="125"/>
      <c r="E1" s="125"/>
      <c r="F1" s="125"/>
      <c r="G1" s="126" t="s">
        <v>299</v>
      </c>
      <c r="H1" s="125"/>
      <c r="I1" s="125"/>
      <c r="J1" s="125"/>
      <c r="K1" s="125"/>
      <c r="L1" s="125"/>
      <c r="M1" s="125"/>
    </row>
    <row r="2" spans="1:13" ht="15.75">
      <c r="A2" s="125"/>
      <c r="B2" s="125"/>
      <c r="C2" s="125"/>
      <c r="D2" s="125"/>
      <c r="E2" s="125"/>
      <c r="F2" s="125"/>
      <c r="G2" s="126" t="s">
        <v>334</v>
      </c>
      <c r="H2" s="125"/>
      <c r="I2" s="125"/>
      <c r="J2" s="125"/>
      <c r="K2" s="125"/>
      <c r="L2" s="125"/>
      <c r="M2" s="125"/>
    </row>
    <row r="3" spans="1:13" ht="15.75">
      <c r="A3" s="125"/>
      <c r="B3" s="125"/>
      <c r="C3" s="125"/>
      <c r="D3" s="125"/>
      <c r="E3" s="125"/>
      <c r="F3" s="125"/>
      <c r="G3" s="126" t="s">
        <v>333</v>
      </c>
      <c r="H3" s="125"/>
      <c r="I3" s="125"/>
      <c r="J3" s="125"/>
      <c r="K3" s="125"/>
      <c r="L3" s="125"/>
      <c r="M3" s="125"/>
    </row>
    <row r="4" ht="13.5" thickBot="1"/>
    <row r="5" spans="1:2" ht="13.5" thickBot="1">
      <c r="A5" s="191" t="s">
        <v>9</v>
      </c>
      <c r="B5" s="192"/>
    </row>
    <row r="6" spans="1:5" ht="12.75">
      <c r="A6" s="12">
        <f>3/365</f>
        <v>0.00821917808219178</v>
      </c>
      <c r="B6" s="19">
        <v>0.0501772</v>
      </c>
      <c r="D6" s="32" t="s">
        <v>18</v>
      </c>
      <c r="E6" s="23">
        <v>1</v>
      </c>
    </row>
    <row r="7" spans="1:5" ht="12.75">
      <c r="A7" s="20">
        <f>31/365</f>
        <v>0.08493150684931507</v>
      </c>
      <c r="B7" s="21">
        <v>0.0498284</v>
      </c>
      <c r="D7" s="32" t="s">
        <v>19</v>
      </c>
      <c r="E7" s="23">
        <v>9</v>
      </c>
    </row>
    <row r="8" spans="1:5" ht="12.75">
      <c r="A8" s="20">
        <f>62/365</f>
        <v>0.16986301369863013</v>
      </c>
      <c r="B8" s="21">
        <v>0.0497234</v>
      </c>
      <c r="D8" s="32" t="s">
        <v>20</v>
      </c>
      <c r="E8" s="33">
        <v>0</v>
      </c>
    </row>
    <row r="9" spans="1:5" ht="12.75">
      <c r="A9" s="20">
        <f>94/365</f>
        <v>0.25753424657534246</v>
      </c>
      <c r="B9" s="21">
        <v>0.0496157</v>
      </c>
      <c r="D9" s="32" t="s">
        <v>21</v>
      </c>
      <c r="E9" s="23">
        <v>100</v>
      </c>
    </row>
    <row r="10" spans="1:5" ht="12.75">
      <c r="A10" s="20">
        <f>185/365</f>
        <v>0.5068493150684932</v>
      </c>
      <c r="B10" s="21">
        <v>0.0499058</v>
      </c>
      <c r="D10" s="32" t="s">
        <v>13</v>
      </c>
      <c r="E10" s="23">
        <v>2</v>
      </c>
    </row>
    <row r="11" spans="1:5" ht="12.75">
      <c r="A11" s="20">
        <f>367/365</f>
        <v>1.0054794520547945</v>
      </c>
      <c r="B11" s="21">
        <v>0.0509389</v>
      </c>
      <c r="D11" s="32"/>
      <c r="E11" s="34"/>
    </row>
    <row r="12" spans="1:5" ht="12.75">
      <c r="A12" s="20">
        <f>731/365</f>
        <v>2.0027397260273974</v>
      </c>
      <c r="B12" s="21">
        <v>0.0579733</v>
      </c>
      <c r="D12" s="32" t="s">
        <v>22</v>
      </c>
      <c r="E12" s="23" t="b">
        <v>1</v>
      </c>
    </row>
    <row r="13" spans="1:5" ht="12.75">
      <c r="A13" s="20">
        <f>1096/365</f>
        <v>3.0027397260273974</v>
      </c>
      <c r="B13" s="21">
        <v>0.0630595</v>
      </c>
      <c r="D13" s="32" t="s">
        <v>4</v>
      </c>
      <c r="E13" s="23">
        <v>0</v>
      </c>
    </row>
    <row r="14" spans="1:5" ht="12.75">
      <c r="A14" s="20">
        <f>1461/365</f>
        <v>4.002739726027397</v>
      </c>
      <c r="B14" s="21">
        <v>0.0673464</v>
      </c>
      <c r="D14" s="29"/>
      <c r="E14" s="29"/>
    </row>
    <row r="15" spans="1:5" ht="12.75">
      <c r="A15" s="20">
        <f>1826/365</f>
        <v>5.002739726027397</v>
      </c>
      <c r="B15" s="21">
        <v>0.0694816</v>
      </c>
      <c r="D15" s="32" t="s">
        <v>15</v>
      </c>
      <c r="E15" s="33">
        <v>0.01</v>
      </c>
    </row>
    <row r="16" spans="1:5" ht="12.75">
      <c r="A16" s="20">
        <f>2194/365</f>
        <v>6.010958904109589</v>
      </c>
      <c r="B16" s="21">
        <v>0.0708807</v>
      </c>
      <c r="D16" s="32" t="s">
        <v>17</v>
      </c>
      <c r="E16" s="33">
        <v>0.1</v>
      </c>
    </row>
    <row r="17" spans="1:5" ht="12.75">
      <c r="A17" s="20">
        <f>2558/365</f>
        <v>7.008219178082192</v>
      </c>
      <c r="B17" s="21">
        <v>0.0727527</v>
      </c>
      <c r="D17" s="32" t="s">
        <v>6</v>
      </c>
      <c r="E17" s="23">
        <v>55</v>
      </c>
    </row>
    <row r="18" spans="1:5" ht="12.75">
      <c r="A18" s="20">
        <f>2922/365</f>
        <v>8.005479452054795</v>
      </c>
      <c r="B18" s="21">
        <v>0.0730852</v>
      </c>
      <c r="D18" s="32" t="s">
        <v>37</v>
      </c>
      <c r="E18" s="23" t="b">
        <v>0</v>
      </c>
    </row>
    <row r="19" spans="1:2" ht="12.75">
      <c r="A19" s="20">
        <f>3287/365</f>
        <v>9.005479452054795</v>
      </c>
      <c r="B19" s="21">
        <v>0.073979</v>
      </c>
    </row>
    <row r="20" spans="1:2" ht="13.5" thickBot="1">
      <c r="A20" s="13">
        <f>3653/365</f>
        <v>10.008219178082191</v>
      </c>
      <c r="B20" s="22">
        <v>0.0749015</v>
      </c>
    </row>
    <row r="22" ht="13.5" thickBot="1"/>
    <row r="23" spans="4:6" ht="13.5" thickBot="1">
      <c r="D23" s="157" t="s">
        <v>7</v>
      </c>
      <c r="E23" s="158" t="s">
        <v>32</v>
      </c>
      <c r="F23" s="127" t="s">
        <v>34</v>
      </c>
    </row>
    <row r="24" spans="4:6" ht="12.75">
      <c r="D24" s="93">
        <v>5</v>
      </c>
      <c r="E24" s="159">
        <f aca="true" t="shared" si="0" ref="E24:E87">TreeBondOpt($E$7,$E$8,$E$9,$E$10,$E$17,$E$6,$E$15,$E$16,$E$12,$E$18,FALSE,0,+D24,$A$6:$B$20,$E$13)</f>
        <v>0.7475811511412471</v>
      </c>
      <c r="F24" s="140">
        <f aca="true" t="shared" si="1" ref="F24:F87">HullWhiteBondOpt($E$7,$E$8,$E$9,$E$10,$E$17,$E$6,$E$15,$E$16,$E$12,$E$18,$A$6:$B$20,$E$13)</f>
        <v>0.6997464763042518</v>
      </c>
    </row>
    <row r="25" spans="4:6" ht="12.75">
      <c r="D25" s="93">
        <v>6</v>
      </c>
      <c r="E25" s="160">
        <f t="shared" si="0"/>
        <v>0.7413059297176327</v>
      </c>
      <c r="F25" s="142">
        <f t="shared" si="1"/>
        <v>0.6997464763042518</v>
      </c>
    </row>
    <row r="26" spans="4:6" ht="12.75">
      <c r="D26" s="93">
        <v>7</v>
      </c>
      <c r="E26" s="160">
        <f t="shared" si="0"/>
        <v>0.735813754823026</v>
      </c>
      <c r="F26" s="142">
        <f t="shared" si="1"/>
        <v>0.6997464763042518</v>
      </c>
    </row>
    <row r="27" spans="4:6" ht="12.75">
      <c r="D27" s="93">
        <v>8</v>
      </c>
      <c r="E27" s="160">
        <f t="shared" si="0"/>
        <v>0.7310233595645043</v>
      </c>
      <c r="F27" s="142">
        <f t="shared" si="1"/>
        <v>0.6997464763042518</v>
      </c>
    </row>
    <row r="28" spans="4:6" ht="12.75">
      <c r="D28" s="93">
        <v>9</v>
      </c>
      <c r="E28" s="160">
        <f t="shared" si="0"/>
        <v>0.7268228973405848</v>
      </c>
      <c r="F28" s="142">
        <f t="shared" si="1"/>
        <v>0.6997464763042518</v>
      </c>
    </row>
    <row r="29" spans="4:6" ht="12.75">
      <c r="D29" s="93">
        <v>10</v>
      </c>
      <c r="E29" s="160">
        <f t="shared" si="0"/>
        <v>0.7231112525148505</v>
      </c>
      <c r="F29" s="142">
        <f t="shared" si="1"/>
        <v>0.6997464763042518</v>
      </c>
    </row>
    <row r="30" spans="4:6" ht="12.75">
      <c r="D30" s="93">
        <v>11</v>
      </c>
      <c r="E30" s="160">
        <f t="shared" si="0"/>
        <v>0.7198053137514507</v>
      </c>
      <c r="F30" s="142">
        <f t="shared" si="1"/>
        <v>0.6997464763042518</v>
      </c>
    </row>
    <row r="31" spans="4:6" ht="12.75">
      <c r="D31" s="93">
        <v>12</v>
      </c>
      <c r="E31" s="160">
        <f t="shared" si="0"/>
        <v>0.7168385281087242</v>
      </c>
      <c r="F31" s="142">
        <f t="shared" si="1"/>
        <v>0.6997464763042518</v>
      </c>
    </row>
    <row r="32" spans="4:6" ht="12.75">
      <c r="D32" s="93">
        <v>13</v>
      </c>
      <c r="E32" s="160">
        <f t="shared" si="0"/>
        <v>0.7141577833919959</v>
      </c>
      <c r="F32" s="142">
        <f t="shared" si="1"/>
        <v>0.6997464763042518</v>
      </c>
    </row>
    <row r="33" spans="4:6" ht="12.75">
      <c r="D33" s="93">
        <v>14</v>
      </c>
      <c r="E33" s="160">
        <f t="shared" si="0"/>
        <v>0.7117204783312246</v>
      </c>
      <c r="F33" s="142">
        <f t="shared" si="1"/>
        <v>0.6997464763042518</v>
      </c>
    </row>
    <row r="34" spans="4:6" ht="12.75">
      <c r="D34" s="93">
        <v>15</v>
      </c>
      <c r="E34" s="160">
        <f t="shared" si="0"/>
        <v>0.7094921597559946</v>
      </c>
      <c r="F34" s="142">
        <f t="shared" si="1"/>
        <v>0.6997464763042518</v>
      </c>
    </row>
    <row r="35" spans="4:6" ht="12.75">
      <c r="D35" s="93">
        <v>16</v>
      </c>
      <c r="E35" s="160">
        <f t="shared" si="0"/>
        <v>0.7074447058196915</v>
      </c>
      <c r="F35" s="142">
        <f t="shared" si="1"/>
        <v>0.6997464763042518</v>
      </c>
    </row>
    <row r="36" spans="4:6" ht="12.75">
      <c r="D36" s="93">
        <v>17</v>
      </c>
      <c r="E36" s="160">
        <f t="shared" si="0"/>
        <v>0.7055549483774107</v>
      </c>
      <c r="F36" s="142">
        <f t="shared" si="1"/>
        <v>0.6997464763042518</v>
      </c>
    </row>
    <row r="37" spans="4:6" ht="12.75">
      <c r="D37" s="93">
        <v>18</v>
      </c>
      <c r="E37" s="160">
        <f t="shared" si="0"/>
        <v>0.7038036289511783</v>
      </c>
      <c r="F37" s="142">
        <f t="shared" si="1"/>
        <v>0.6997464763042518</v>
      </c>
    </row>
    <row r="38" spans="4:6" ht="12.75">
      <c r="D38" s="93">
        <v>19</v>
      </c>
      <c r="E38" s="160">
        <f t="shared" si="0"/>
        <v>0.7021746033365674</v>
      </c>
      <c r="F38" s="142">
        <f t="shared" si="1"/>
        <v>0.6997464763042518</v>
      </c>
    </row>
    <row r="39" spans="4:6" ht="12.75">
      <c r="D39" s="93">
        <v>20</v>
      </c>
      <c r="E39" s="160">
        <f t="shared" si="0"/>
        <v>0.7006542309099344</v>
      </c>
      <c r="F39" s="142">
        <f t="shared" si="1"/>
        <v>0.6997464763042518</v>
      </c>
    </row>
    <row r="40" spans="4:6" ht="12.75">
      <c r="D40" s="93">
        <v>21</v>
      </c>
      <c r="E40" s="160">
        <f t="shared" si="0"/>
        <v>0.6992309016162406</v>
      </c>
      <c r="F40" s="142">
        <f t="shared" si="1"/>
        <v>0.6997464763042518</v>
      </c>
    </row>
    <row r="41" spans="4:6" ht="12.75">
      <c r="D41" s="93">
        <v>22</v>
      </c>
      <c r="E41" s="160">
        <f t="shared" si="0"/>
        <v>0.6978946662574883</v>
      </c>
      <c r="F41" s="142">
        <f t="shared" si="1"/>
        <v>0.6997464763042518</v>
      </c>
    </row>
    <row r="42" spans="4:6" ht="12.75">
      <c r="D42" s="93">
        <v>23</v>
      </c>
      <c r="E42" s="160">
        <f t="shared" si="0"/>
        <v>0.6966369449517364</v>
      </c>
      <c r="F42" s="142">
        <f t="shared" si="1"/>
        <v>0.6997464763042518</v>
      </c>
    </row>
    <row r="43" spans="4:6" ht="12.75">
      <c r="D43" s="93">
        <v>24</v>
      </c>
      <c r="E43" s="160">
        <f t="shared" si="0"/>
        <v>0.6954502952009997</v>
      </c>
      <c r="F43" s="142">
        <f t="shared" si="1"/>
        <v>0.6997464763042518</v>
      </c>
    </row>
    <row r="44" spans="4:6" ht="12.75">
      <c r="D44" s="93">
        <v>25</v>
      </c>
      <c r="E44" s="160">
        <f t="shared" si="0"/>
        <v>0.6943282258945762</v>
      </c>
      <c r="F44" s="142">
        <f t="shared" si="1"/>
        <v>0.6997464763042518</v>
      </c>
    </row>
    <row r="45" spans="4:6" ht="12.75">
      <c r="D45" s="93">
        <v>26</v>
      </c>
      <c r="E45" s="160">
        <f t="shared" si="0"/>
        <v>0.6932650469373063</v>
      </c>
      <c r="F45" s="142">
        <f t="shared" si="1"/>
        <v>0.6997464763042518</v>
      </c>
    </row>
    <row r="46" spans="4:6" ht="12.75">
      <c r="D46" s="93">
        <v>27</v>
      </c>
      <c r="E46" s="160">
        <f t="shared" si="0"/>
        <v>0.6938236200808651</v>
      </c>
      <c r="F46" s="142">
        <f t="shared" si="1"/>
        <v>0.6997464763042518</v>
      </c>
    </row>
    <row r="47" spans="4:6" ht="12.75">
      <c r="D47" s="93">
        <v>28</v>
      </c>
      <c r="E47" s="160">
        <f t="shared" si="0"/>
        <v>0.6950877504077133</v>
      </c>
      <c r="F47" s="142">
        <f t="shared" si="1"/>
        <v>0.6997464763042518</v>
      </c>
    </row>
    <row r="48" spans="4:6" ht="12.75">
      <c r="D48" s="93">
        <v>29</v>
      </c>
      <c r="E48" s="160">
        <f t="shared" si="0"/>
        <v>0.6962127249445201</v>
      </c>
      <c r="F48" s="142">
        <f t="shared" si="1"/>
        <v>0.6997464763042518</v>
      </c>
    </row>
    <row r="49" spans="4:6" ht="12.75">
      <c r="D49" s="93">
        <v>30</v>
      </c>
      <c r="E49" s="160">
        <f t="shared" si="0"/>
        <v>0.6972144985659333</v>
      </c>
      <c r="F49" s="142">
        <f t="shared" si="1"/>
        <v>0.6997464763042518</v>
      </c>
    </row>
    <row r="50" spans="4:6" ht="12.75">
      <c r="D50" s="93">
        <v>31</v>
      </c>
      <c r="E50" s="160">
        <f t="shared" si="0"/>
        <v>0.6981068555900933</v>
      </c>
      <c r="F50" s="142">
        <f t="shared" si="1"/>
        <v>0.6997464763042518</v>
      </c>
    </row>
    <row r="51" spans="4:6" ht="12.75">
      <c r="D51" s="93">
        <v>32</v>
      </c>
      <c r="E51" s="160">
        <f t="shared" si="0"/>
        <v>0.6989017549360753</v>
      </c>
      <c r="F51" s="142">
        <f t="shared" si="1"/>
        <v>0.6997464763042518</v>
      </c>
    </row>
    <row r="52" spans="4:6" ht="12.75">
      <c r="D52" s="93">
        <v>33</v>
      </c>
      <c r="E52" s="160">
        <f t="shared" si="0"/>
        <v>0.699609612580038</v>
      </c>
      <c r="F52" s="142">
        <f t="shared" si="1"/>
        <v>0.6997464763042518</v>
      </c>
    </row>
    <row r="53" spans="4:6" ht="12.75">
      <c r="D53" s="93">
        <v>34</v>
      </c>
      <c r="E53" s="160">
        <f t="shared" si="0"/>
        <v>0.7002395340886267</v>
      </c>
      <c r="F53" s="142">
        <f t="shared" si="1"/>
        <v>0.6997464763042518</v>
      </c>
    </row>
    <row r="54" spans="4:6" ht="12.75">
      <c r="D54" s="93">
        <v>35</v>
      </c>
      <c r="E54" s="160">
        <f t="shared" si="0"/>
        <v>0.7007995070915403</v>
      </c>
      <c r="F54" s="142">
        <f t="shared" si="1"/>
        <v>0.6997464763042518</v>
      </c>
    </row>
    <row r="55" spans="4:6" ht="12.75">
      <c r="D55" s="93">
        <v>36</v>
      </c>
      <c r="E55" s="160">
        <f t="shared" si="0"/>
        <v>0.7012965614559387</v>
      </c>
      <c r="F55" s="142">
        <f t="shared" si="1"/>
        <v>0.6997464763042518</v>
      </c>
    </row>
    <row r="56" spans="4:6" ht="12.75">
      <c r="D56" s="93">
        <v>37</v>
      </c>
      <c r="E56" s="160">
        <f t="shared" si="0"/>
        <v>0.7017369032138777</v>
      </c>
      <c r="F56" s="142">
        <f t="shared" si="1"/>
        <v>0.6997464763042518</v>
      </c>
    </row>
    <row r="57" spans="4:6" ht="12.75">
      <c r="D57" s="93">
        <v>38</v>
      </c>
      <c r="E57" s="160">
        <f t="shared" si="0"/>
        <v>0.70212602707357</v>
      </c>
      <c r="F57" s="142">
        <f t="shared" si="1"/>
        <v>0.6997464763042518</v>
      </c>
    </row>
    <row r="58" spans="4:6" ht="12.75">
      <c r="D58" s="93">
        <v>39</v>
      </c>
      <c r="E58" s="160">
        <f t="shared" si="0"/>
        <v>0.7024688113816363</v>
      </c>
      <c r="F58" s="142">
        <f t="shared" si="1"/>
        <v>0.6997464763042518</v>
      </c>
    </row>
    <row r="59" spans="4:6" ht="12.75">
      <c r="D59" s="93">
        <v>40</v>
      </c>
      <c r="E59" s="160">
        <f t="shared" si="0"/>
        <v>0.702769598579229</v>
      </c>
      <c r="F59" s="142">
        <f t="shared" si="1"/>
        <v>0.6997464763042518</v>
      </c>
    </row>
    <row r="60" spans="4:6" ht="12.75">
      <c r="D60" s="93">
        <v>41</v>
      </c>
      <c r="E60" s="160">
        <f t="shared" si="0"/>
        <v>0.7030322636462547</v>
      </c>
      <c r="F60" s="142">
        <f t="shared" si="1"/>
        <v>0.6997464763042518</v>
      </c>
    </row>
    <row r="61" spans="4:6" ht="12.75">
      <c r="D61" s="93">
        <v>42</v>
      </c>
      <c r="E61" s="160">
        <f t="shared" si="0"/>
        <v>0.7032602725626805</v>
      </c>
      <c r="F61" s="142">
        <f t="shared" si="1"/>
        <v>0.6997464763042518</v>
      </c>
    </row>
    <row r="62" spans="4:6" ht="12.75">
      <c r="D62" s="93">
        <v>43</v>
      </c>
      <c r="E62" s="160">
        <f t="shared" si="0"/>
        <v>0.7034567324113309</v>
      </c>
      <c r="F62" s="142">
        <f t="shared" si="1"/>
        <v>0.6997464763042518</v>
      </c>
    </row>
    <row r="63" spans="4:6" ht="12.75">
      <c r="D63" s="93">
        <v>44</v>
      </c>
      <c r="E63" s="160">
        <f t="shared" si="0"/>
        <v>0.7036244344521801</v>
      </c>
      <c r="F63" s="142">
        <f t="shared" si="1"/>
        <v>0.6997464763042518</v>
      </c>
    </row>
    <row r="64" spans="4:6" ht="12.75">
      <c r="D64" s="93">
        <v>45</v>
      </c>
      <c r="E64" s="160">
        <f t="shared" si="0"/>
        <v>0.7037658913147326</v>
      </c>
      <c r="F64" s="142">
        <f t="shared" si="1"/>
        <v>0.6997464763042518</v>
      </c>
    </row>
    <row r="65" spans="4:6" ht="12.75">
      <c r="D65" s="93">
        <v>46</v>
      </c>
      <c r="E65" s="160">
        <f t="shared" si="0"/>
        <v>0.7038833691618845</v>
      </c>
      <c r="F65" s="142">
        <f t="shared" si="1"/>
        <v>0.6997464763042518</v>
      </c>
    </row>
    <row r="66" spans="4:6" ht="12.75">
      <c r="D66" s="93">
        <v>47</v>
      </c>
      <c r="E66" s="160">
        <f t="shared" si="0"/>
        <v>0.7039789156266895</v>
      </c>
      <c r="F66" s="142">
        <f t="shared" si="1"/>
        <v>0.6997464763042518</v>
      </c>
    </row>
    <row r="67" spans="4:6" ht="12.75">
      <c r="D67" s="93">
        <v>48</v>
      </c>
      <c r="E67" s="160">
        <f t="shared" si="0"/>
        <v>0.7040543841419148</v>
      </c>
      <c r="F67" s="142">
        <f t="shared" si="1"/>
        <v>0.6997464763042518</v>
      </c>
    </row>
    <row r="68" spans="4:6" ht="12.75">
      <c r="D68" s="93">
        <v>49</v>
      </c>
      <c r="E68" s="160">
        <f t="shared" si="0"/>
        <v>0.7041114551313249</v>
      </c>
      <c r="F68" s="142">
        <f t="shared" si="1"/>
        <v>0.6997464763042518</v>
      </c>
    </row>
    <row r="69" spans="4:6" ht="12.75">
      <c r="D69" s="93">
        <v>50</v>
      </c>
      <c r="E69" s="160">
        <f t="shared" si="0"/>
        <v>0.704151654649138</v>
      </c>
      <c r="F69" s="142">
        <f t="shared" si="1"/>
        <v>0.6997464763042518</v>
      </c>
    </row>
    <row r="70" spans="4:6" ht="12.75">
      <c r="D70" s="93">
        <f>D69+1</f>
        <v>51</v>
      </c>
      <c r="E70" s="160">
        <f t="shared" si="0"/>
        <v>0.7041763706321381</v>
      </c>
      <c r="F70" s="142">
        <f t="shared" si="1"/>
        <v>0.6997464763042518</v>
      </c>
    </row>
    <row r="71" spans="4:6" ht="12.75">
      <c r="D71" s="93">
        <f aca="true" t="shared" si="2" ref="D71:D99">D70+1</f>
        <v>52</v>
      </c>
      <c r="E71" s="160">
        <f t="shared" si="0"/>
        <v>0.7041868672685703</v>
      </c>
      <c r="F71" s="142">
        <f t="shared" si="1"/>
        <v>0.6997464763042518</v>
      </c>
    </row>
    <row r="72" spans="4:6" ht="12.75">
      <c r="D72" s="93">
        <f t="shared" si="2"/>
        <v>53</v>
      </c>
      <c r="E72" s="160">
        <f t="shared" si="0"/>
        <v>0.7041842976362154</v>
      </c>
      <c r="F72" s="142">
        <f t="shared" si="1"/>
        <v>0.6997464763042518</v>
      </c>
    </row>
    <row r="73" spans="4:6" ht="12.75">
      <c r="D73" s="93">
        <f t="shared" si="2"/>
        <v>54</v>
      </c>
      <c r="E73" s="160">
        <f t="shared" si="0"/>
        <v>0.7041697148696474</v>
      </c>
      <c r="F73" s="142">
        <f t="shared" si="1"/>
        <v>0.6997464763042518</v>
      </c>
    </row>
    <row r="74" spans="4:6" ht="12.75">
      <c r="D74" s="93">
        <f t="shared" si="2"/>
        <v>55</v>
      </c>
      <c r="E74" s="160">
        <f t="shared" si="0"/>
        <v>0.7041440820602395</v>
      </c>
      <c r="F74" s="142">
        <f t="shared" si="1"/>
        <v>0.6997464763042518</v>
      </c>
    </row>
    <row r="75" spans="4:6" ht="12.75">
      <c r="D75" s="93">
        <f t="shared" si="2"/>
        <v>56</v>
      </c>
      <c r="E75" s="160">
        <f t="shared" si="0"/>
        <v>0.7041082810307546</v>
      </c>
      <c r="F75" s="142">
        <f t="shared" si="1"/>
        <v>0.6997464763042518</v>
      </c>
    </row>
    <row r="76" spans="4:6" ht="12.75">
      <c r="D76" s="93">
        <f t="shared" si="2"/>
        <v>57</v>
      </c>
      <c r="E76" s="160">
        <f t="shared" si="0"/>
        <v>0.7040631201447001</v>
      </c>
      <c r="F76" s="142">
        <f t="shared" si="1"/>
        <v>0.6997464763042518</v>
      </c>
    </row>
    <row r="77" spans="4:6" ht="12.75">
      <c r="D77" s="93">
        <f t="shared" si="2"/>
        <v>58</v>
      </c>
      <c r="E77" s="160">
        <f t="shared" si="0"/>
        <v>0.7040093412435182</v>
      </c>
      <c r="F77" s="142">
        <f t="shared" si="1"/>
        <v>0.6997464763042518</v>
      </c>
    </row>
    <row r="78" spans="4:6" ht="12.75">
      <c r="D78" s="93">
        <f t="shared" si="2"/>
        <v>59</v>
      </c>
      <c r="E78" s="160">
        <f t="shared" si="0"/>
        <v>0.7039476258844076</v>
      </c>
      <c r="F78" s="142">
        <f t="shared" si="1"/>
        <v>0.6997464763042518</v>
      </c>
    </row>
    <row r="79" spans="4:6" ht="12.75">
      <c r="D79" s="93">
        <f t="shared" si="2"/>
        <v>60</v>
      </c>
      <c r="E79" s="160">
        <f t="shared" si="0"/>
        <v>0.7038786008502622</v>
      </c>
      <c r="F79" s="142">
        <f t="shared" si="1"/>
        <v>0.6997464763042518</v>
      </c>
    </row>
    <row r="80" spans="4:6" ht="12.75">
      <c r="D80" s="93">
        <f t="shared" si="2"/>
        <v>61</v>
      </c>
      <c r="E80" s="160">
        <f t="shared" si="0"/>
        <v>0.7038028431360344</v>
      </c>
      <c r="F80" s="142">
        <f t="shared" si="1"/>
        <v>0.6997464763042518</v>
      </c>
    </row>
    <row r="81" spans="4:6" ht="12.75">
      <c r="D81" s="93">
        <f t="shared" si="2"/>
        <v>62</v>
      </c>
      <c r="E81" s="160">
        <f t="shared" si="0"/>
        <v>0.7037208844195886</v>
      </c>
      <c r="F81" s="142">
        <f t="shared" si="1"/>
        <v>0.6997464763042518</v>
      </c>
    </row>
    <row r="82" spans="4:6" ht="12.75">
      <c r="D82" s="93">
        <f t="shared" si="2"/>
        <v>63</v>
      </c>
      <c r="E82" s="160">
        <f t="shared" si="0"/>
        <v>0.7036332150421993</v>
      </c>
      <c r="F82" s="142">
        <f t="shared" si="1"/>
        <v>0.6997464763042518</v>
      </c>
    </row>
    <row r="83" spans="4:6" ht="12.75">
      <c r="D83" s="93">
        <f t="shared" si="2"/>
        <v>64</v>
      </c>
      <c r="E83" s="160">
        <f t="shared" si="0"/>
        <v>0.7035402876118202</v>
      </c>
      <c r="F83" s="142">
        <f t="shared" si="1"/>
        <v>0.6997464763042518</v>
      </c>
    </row>
    <row r="84" spans="4:6" ht="12.75">
      <c r="D84" s="93">
        <f t="shared" si="2"/>
        <v>65</v>
      </c>
      <c r="E84" s="160">
        <f t="shared" si="0"/>
        <v>0.7034425202921422</v>
      </c>
      <c r="F84" s="142">
        <f t="shared" si="1"/>
        <v>0.6997464763042518</v>
      </c>
    </row>
    <row r="85" spans="4:6" ht="12.75">
      <c r="D85" s="93">
        <f t="shared" si="2"/>
        <v>66</v>
      </c>
      <c r="E85" s="160">
        <f t="shared" si="0"/>
        <v>0.7033402996677393</v>
      </c>
      <c r="F85" s="142">
        <f t="shared" si="1"/>
        <v>0.6997464763042518</v>
      </c>
    </row>
    <row r="86" spans="4:6" ht="12.75">
      <c r="D86" s="93">
        <f t="shared" si="2"/>
        <v>67</v>
      </c>
      <c r="E86" s="160">
        <f t="shared" si="0"/>
        <v>0.7032339834734784</v>
      </c>
      <c r="F86" s="142">
        <f t="shared" si="1"/>
        <v>0.6997464763042518</v>
      </c>
    </row>
    <row r="87" spans="4:6" ht="12.75">
      <c r="D87" s="93">
        <f t="shared" si="2"/>
        <v>68</v>
      </c>
      <c r="E87" s="160">
        <f t="shared" si="0"/>
        <v>0.7031239029156116</v>
      </c>
      <c r="F87" s="142">
        <f t="shared" si="1"/>
        <v>0.6997464763042518</v>
      </c>
    </row>
    <row r="88" spans="4:6" ht="12.75">
      <c r="D88" s="93">
        <f t="shared" si="2"/>
        <v>69</v>
      </c>
      <c r="E88" s="160">
        <f aca="true" t="shared" si="3" ref="E88:E99">TreeBondOpt($E$7,$E$8,$E$9,$E$10,$E$17,$E$6,$E$15,$E$16,$E$12,$E$18,FALSE,0,+D88,$A$6:$B$20,$E$13)</f>
        <v>0.7030103648936651</v>
      </c>
      <c r="F88" s="142">
        <f aca="true" t="shared" si="4" ref="F88:F99">HullWhiteBondOpt($E$7,$E$8,$E$9,$E$10,$E$17,$E$6,$E$15,$E$16,$E$12,$E$18,$A$6:$B$20,$E$13)</f>
        <v>0.6997464763042518</v>
      </c>
    </row>
    <row r="89" spans="4:6" ht="12.75">
      <c r="D89" s="93">
        <f t="shared" si="2"/>
        <v>70</v>
      </c>
      <c r="E89" s="160">
        <f t="shared" si="3"/>
        <v>0.7028936539807145</v>
      </c>
      <c r="F89" s="142">
        <f t="shared" si="4"/>
        <v>0.6997464763042518</v>
      </c>
    </row>
    <row r="90" spans="4:6" ht="12.75">
      <c r="D90" s="93">
        <f t="shared" si="2"/>
        <v>71</v>
      </c>
      <c r="E90" s="160">
        <f t="shared" si="3"/>
        <v>0.7027740341687158</v>
      </c>
      <c r="F90" s="142">
        <f t="shared" si="4"/>
        <v>0.6997464763042518</v>
      </c>
    </row>
    <row r="91" spans="4:6" ht="12.75">
      <c r="D91" s="93">
        <f t="shared" si="2"/>
        <v>72</v>
      </c>
      <c r="E91" s="160">
        <f t="shared" si="3"/>
        <v>0.7026517505426078</v>
      </c>
      <c r="F91" s="142">
        <f t="shared" si="4"/>
        <v>0.6997464763042518</v>
      </c>
    </row>
    <row r="92" spans="4:6" ht="12.75">
      <c r="D92" s="93">
        <f t="shared" si="2"/>
        <v>73</v>
      </c>
      <c r="E92" s="160">
        <f t="shared" si="3"/>
        <v>0.7025270307491981</v>
      </c>
      <c r="F92" s="142">
        <f t="shared" si="4"/>
        <v>0.6997464763042518</v>
      </c>
    </row>
    <row r="93" spans="4:6" ht="12.75">
      <c r="D93" s="93">
        <f t="shared" si="2"/>
        <v>74</v>
      </c>
      <c r="E93" s="160">
        <f t="shared" si="3"/>
        <v>0.7024000863615728</v>
      </c>
      <c r="F93" s="142">
        <f t="shared" si="4"/>
        <v>0.6997464763042518</v>
      </c>
    </row>
    <row r="94" spans="4:6" ht="12.75">
      <c r="D94" s="93">
        <f t="shared" si="2"/>
        <v>75</v>
      </c>
      <c r="E94" s="160">
        <f t="shared" si="3"/>
        <v>0.7022711140872793</v>
      </c>
      <c r="F94" s="142">
        <f t="shared" si="4"/>
        <v>0.6997464763042518</v>
      </c>
    </row>
    <row r="95" spans="4:6" ht="12.75">
      <c r="D95" s="93">
        <f t="shared" si="2"/>
        <v>76</v>
      </c>
      <c r="E95" s="160">
        <f t="shared" si="3"/>
        <v>0.702140296937973</v>
      </c>
      <c r="F95" s="142">
        <f t="shared" si="4"/>
        <v>0.6997464763042518</v>
      </c>
    </row>
    <row r="96" spans="4:6" ht="12.75">
      <c r="D96" s="93">
        <f t="shared" si="2"/>
        <v>77</v>
      </c>
      <c r="E96" s="160">
        <f t="shared" si="3"/>
        <v>0.7020078052252615</v>
      </c>
      <c r="F96" s="142">
        <f t="shared" si="4"/>
        <v>0.6997464763042518</v>
      </c>
    </row>
    <row r="97" spans="4:6" ht="12.75">
      <c r="D97" s="93">
        <f t="shared" si="2"/>
        <v>78</v>
      </c>
      <c r="E97" s="160">
        <f t="shared" si="3"/>
        <v>0.701873797563962</v>
      </c>
      <c r="F97" s="142">
        <f t="shared" si="4"/>
        <v>0.6997464763042518</v>
      </c>
    </row>
    <row r="98" spans="4:6" ht="12.75">
      <c r="D98" s="93">
        <f t="shared" si="2"/>
        <v>79</v>
      </c>
      <c r="E98" s="160">
        <f t="shared" si="3"/>
        <v>0.7017384216417633</v>
      </c>
      <c r="F98" s="142">
        <f t="shared" si="4"/>
        <v>0.6997464763042518</v>
      </c>
    </row>
    <row r="99" spans="4:6" ht="13.5" thickBot="1">
      <c r="D99" s="156">
        <f t="shared" si="2"/>
        <v>80</v>
      </c>
      <c r="E99" s="161">
        <f t="shared" si="3"/>
        <v>0.7016018151078425</v>
      </c>
      <c r="F99" s="155">
        <f t="shared" si="4"/>
        <v>0.6997464763042518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M12" sqref="M12"/>
    </sheetView>
  </sheetViews>
  <sheetFormatPr defaultColWidth="9.140625" defaultRowHeight="12.75"/>
  <sheetData>
    <row r="1" ht="12.75">
      <c r="A1" s="18" t="s">
        <v>143</v>
      </c>
    </row>
    <row r="9" spans="1:5" ht="12.75">
      <c r="A9" s="165" t="s">
        <v>0</v>
      </c>
      <c r="B9" s="165" t="s">
        <v>1</v>
      </c>
      <c r="C9" s="165" t="s">
        <v>2</v>
      </c>
      <c r="D9" s="165" t="s">
        <v>3</v>
      </c>
      <c r="E9" s="165"/>
    </row>
    <row r="10" spans="1:4" ht="12.75">
      <c r="A10">
        <v>50</v>
      </c>
      <c r="B10">
        <v>0.03</v>
      </c>
      <c r="C10">
        <v>0</v>
      </c>
      <c r="D10">
        <v>0.2</v>
      </c>
    </row>
    <row r="12" spans="1:12" ht="12.75">
      <c r="A12" s="165" t="s">
        <v>341</v>
      </c>
      <c r="B12" s="165" t="s">
        <v>102</v>
      </c>
      <c r="C12" s="165" t="s">
        <v>30</v>
      </c>
      <c r="D12" s="165" t="s">
        <v>85</v>
      </c>
      <c r="E12" s="165"/>
      <c r="G12" s="165" t="s">
        <v>342</v>
      </c>
      <c r="H12" s="165" t="s">
        <v>343</v>
      </c>
      <c r="I12" s="165" t="s">
        <v>344</v>
      </c>
      <c r="J12" s="165"/>
      <c r="L12" s="165" t="s">
        <v>345</v>
      </c>
    </row>
    <row r="13" spans="1:12" ht="12.75">
      <c r="A13">
        <v>250</v>
      </c>
      <c r="B13">
        <v>50</v>
      </c>
      <c r="C13">
        <v>1</v>
      </c>
      <c r="D13">
        <f>Black_Scholes($A$10,B13,$B$10,$C$10,$D$10,C13,TRUE,FALSE,,0)</f>
        <v>4.706695974810126</v>
      </c>
      <c r="E13">
        <f>A13*D13</f>
        <v>1176.6739937025316</v>
      </c>
      <c r="G13">
        <v>45.989248155192314</v>
      </c>
      <c r="H13">
        <v>0.1</v>
      </c>
      <c r="I13">
        <f>Black_Scholes(G13,B13,$B$10,$C$10,H13,C13,TRUE,FALSE,,0)</f>
        <v>0.8821816841202405</v>
      </c>
      <c r="J13">
        <f>A13*I13</f>
        <v>220.5454210300601</v>
      </c>
      <c r="L13">
        <f>A13*(I13-D13)</f>
        <v>-956.1285726724714</v>
      </c>
    </row>
    <row r="14" spans="1:12" ht="12.75">
      <c r="A14">
        <v>-125</v>
      </c>
      <c r="B14">
        <v>60</v>
      </c>
      <c r="C14">
        <v>1.5</v>
      </c>
      <c r="D14">
        <f>Black_Scholes($A$10,B14,$B$10,$C$10,$D$10,C14,TRUE,FALSE,,0)</f>
        <v>2.348451130717312</v>
      </c>
      <c r="E14">
        <f>A14*D14</f>
        <v>-293.556391339664</v>
      </c>
      <c r="G14">
        <f>$G$13</f>
        <v>45.989248155192314</v>
      </c>
      <c r="H14">
        <f>$H$13</f>
        <v>0.1</v>
      </c>
      <c r="I14">
        <f>Black_Scholes(G14,B14,$B$10,$C$10,H14,C14,TRUE,FALSE,,0)</f>
        <v>0.08878629117637013</v>
      </c>
      <c r="J14">
        <f>A14*I14</f>
        <v>-11.098286397046266</v>
      </c>
      <c r="L14">
        <f>A14*(I14-D14)</f>
        <v>282.45810494261775</v>
      </c>
    </row>
    <row r="15" spans="1:12" ht="12.75">
      <c r="A15">
        <v>-75</v>
      </c>
      <c r="B15">
        <v>40</v>
      </c>
      <c r="C15">
        <v>0.8</v>
      </c>
      <c r="D15">
        <f>Black_Scholes($A$10,B15,$B$10,$C$10,$D$10,C15,TRUE,FALSE,,0)</f>
        <v>11.249533361843344</v>
      </c>
      <c r="E15">
        <f>A15*D15</f>
        <v>-843.7150021382508</v>
      </c>
      <c r="G15">
        <f>$G$13</f>
        <v>45.989248155192314</v>
      </c>
      <c r="H15">
        <f>$H$13</f>
        <v>0.1</v>
      </c>
      <c r="I15">
        <f>Black_Scholes(G15,B15,$B$10,$C$10,H15,C15,TRUE,FALSE,,0)</f>
        <v>6.988156627787552</v>
      </c>
      <c r="J15">
        <f>A15*I15</f>
        <v>-524.1117470840663</v>
      </c>
      <c r="L15">
        <f>A15*(I15-D15)</f>
        <v>319.60325505418444</v>
      </c>
    </row>
    <row r="16" spans="1:12" ht="12.75">
      <c r="A16">
        <v>-50</v>
      </c>
      <c r="B16">
        <v>55</v>
      </c>
      <c r="C16">
        <v>0.5</v>
      </c>
      <c r="D16">
        <f>Black_Scholes($A$10,B16,$B$10,$C$10,$D$10,C16,TRUE,FALSE,,0)</f>
        <v>1.305954431647005</v>
      </c>
      <c r="E16">
        <f>A16*D16</f>
        <v>-65.29772158235025</v>
      </c>
      <c r="G16">
        <f>$G$13</f>
        <v>45.989248155192314</v>
      </c>
      <c r="H16">
        <f>$H$13</f>
        <v>0.1</v>
      </c>
      <c r="I16">
        <f>Black_Scholes(G16,B16,$B$10,$C$10,H16,C16,TRUE,FALSE,,0)</f>
        <v>0.012242807833009307</v>
      </c>
      <c r="J16">
        <f>A16*I16</f>
        <v>-0.6121403916504653</v>
      </c>
      <c r="L16">
        <f>A16*(I16-D16)</f>
        <v>64.68558119069979</v>
      </c>
    </row>
    <row r="18" spans="5:12" ht="12.75">
      <c r="E18">
        <f>SUM(E13:E16)</f>
        <v>-25.895121357733586</v>
      </c>
      <c r="J18">
        <f>SUM(J13:J16)</f>
        <v>-315.276752842703</v>
      </c>
      <c r="L18">
        <f>SUM(L13:L16)</f>
        <v>-289.3816314849694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410"/>
  <sheetViews>
    <sheetView zoomScalePageLayoutView="0" workbookViewId="0" topLeftCell="A133">
      <selection activeCell="C20" sqref="C20:E25"/>
    </sheetView>
  </sheetViews>
  <sheetFormatPr defaultColWidth="9.140625" defaultRowHeight="12.75"/>
  <cols>
    <col min="1" max="1" width="20.421875" style="0" customWidth="1"/>
    <col min="6" max="6" width="13.421875" style="0" customWidth="1"/>
    <col min="7" max="7" width="15.140625" style="0" bestFit="1" customWidth="1"/>
    <col min="8" max="8" width="12.140625" style="0" customWidth="1"/>
    <col min="9" max="9" width="14.28125" style="0" customWidth="1"/>
    <col min="10" max="10" width="8.57421875" style="0" bestFit="1" customWidth="1"/>
    <col min="12" max="12" width="6.140625" style="0" customWidth="1"/>
  </cols>
  <sheetData>
    <row r="1" spans="1:2" s="18" customFormat="1" ht="12.75">
      <c r="A1" s="18" t="s">
        <v>301</v>
      </c>
      <c r="B1"/>
    </row>
    <row r="2" s="18" customFormat="1" ht="12.75">
      <c r="C2" s="18" t="s">
        <v>142</v>
      </c>
    </row>
    <row r="3" s="18" customFormat="1" ht="12.75"/>
    <row r="4" s="18" customFormat="1" ht="12.75">
      <c r="A4" s="18" t="s">
        <v>143</v>
      </c>
    </row>
    <row r="5" s="18" customFormat="1" ht="12.75">
      <c r="A5" s="18" t="s">
        <v>144</v>
      </c>
    </row>
    <row r="6" s="18" customFormat="1" ht="12.75">
      <c r="A6" s="18" t="s">
        <v>145</v>
      </c>
    </row>
    <row r="7" spans="1:2" ht="12.75">
      <c r="A7" t="s">
        <v>0</v>
      </c>
      <c r="B7" t="s">
        <v>146</v>
      </c>
    </row>
    <row r="8" spans="1:2" ht="12.75">
      <c r="A8" t="s">
        <v>102</v>
      </c>
      <c r="B8" t="s">
        <v>147</v>
      </c>
    </row>
    <row r="9" spans="1:2" ht="12.75">
      <c r="A9" t="s">
        <v>1</v>
      </c>
      <c r="B9" t="s">
        <v>148</v>
      </c>
    </row>
    <row r="10" spans="1:2" ht="12.75">
      <c r="A10" t="s">
        <v>2</v>
      </c>
      <c r="B10" t="s">
        <v>149</v>
      </c>
    </row>
    <row r="11" spans="1:2" ht="12.75">
      <c r="A11" t="s">
        <v>3</v>
      </c>
      <c r="B11" t="s">
        <v>150</v>
      </c>
    </row>
    <row r="12" spans="1:2" ht="12.75">
      <c r="A12" t="s">
        <v>30</v>
      </c>
      <c r="B12" t="s">
        <v>151</v>
      </c>
    </row>
    <row r="13" spans="1:2" ht="12.75">
      <c r="A13" t="s">
        <v>22</v>
      </c>
      <c r="B13" t="s">
        <v>152</v>
      </c>
    </row>
    <row r="14" spans="1:2" ht="12.75">
      <c r="A14" t="s">
        <v>23</v>
      </c>
      <c r="B14" t="s">
        <v>153</v>
      </c>
    </row>
    <row r="15" spans="1:2" ht="12.75">
      <c r="A15" t="s">
        <v>154</v>
      </c>
      <c r="B15" t="s">
        <v>155</v>
      </c>
    </row>
    <row r="16" spans="1:2" ht="12.75">
      <c r="A16" t="s">
        <v>4</v>
      </c>
      <c r="B16" t="s">
        <v>156</v>
      </c>
    </row>
    <row r="17" ht="13.5" thickBot="1"/>
    <row r="18" spans="4:5" ht="13.5" thickBot="1">
      <c r="D18" s="123" t="s">
        <v>289</v>
      </c>
      <c r="E18" s="124"/>
    </row>
    <row r="19" spans="1:5" ht="12.75">
      <c r="A19" t="s">
        <v>116</v>
      </c>
      <c r="B19">
        <f>Black_Scholes(50,50,0.05,0,0.4,1,TRUE,FALSE,D19:E20,0)</f>
        <v>7.831612908540074</v>
      </c>
      <c r="D19" s="12">
        <v>0.5</v>
      </c>
      <c r="E19" s="6">
        <v>1</v>
      </c>
    </row>
    <row r="20" spans="4:5" ht="13.5" thickBot="1">
      <c r="D20" s="13">
        <v>0.75</v>
      </c>
      <c r="E20" s="14">
        <v>1</v>
      </c>
    </row>
    <row r="23" s="18" customFormat="1" ht="12.75">
      <c r="A23" s="18" t="s">
        <v>282</v>
      </c>
    </row>
    <row r="24" s="18" customFormat="1" ht="12.75">
      <c r="A24" s="18" t="s">
        <v>157</v>
      </c>
    </row>
    <row r="25" s="18" customFormat="1" ht="12.75">
      <c r="A25" s="18" t="s">
        <v>145</v>
      </c>
    </row>
    <row r="26" spans="1:2" ht="12.75">
      <c r="A26" t="s">
        <v>0</v>
      </c>
      <c r="B26" t="s">
        <v>146</v>
      </c>
    </row>
    <row r="27" spans="1:2" ht="12.75">
      <c r="A27" t="s">
        <v>102</v>
      </c>
      <c r="B27" t="s">
        <v>147</v>
      </c>
    </row>
    <row r="28" spans="1:2" ht="12.75">
      <c r="A28" t="s">
        <v>1</v>
      </c>
      <c r="B28" t="s">
        <v>148</v>
      </c>
    </row>
    <row r="29" spans="1:2" ht="12.75">
      <c r="A29" t="s">
        <v>2</v>
      </c>
      <c r="B29" t="s">
        <v>149</v>
      </c>
    </row>
    <row r="30" spans="1:2" ht="12.75">
      <c r="A30" t="s">
        <v>3</v>
      </c>
      <c r="B30" t="s">
        <v>150</v>
      </c>
    </row>
    <row r="31" spans="1:2" ht="12.75">
      <c r="A31" t="s">
        <v>30</v>
      </c>
      <c r="B31" t="s">
        <v>151</v>
      </c>
    </row>
    <row r="32" spans="1:2" ht="12.75">
      <c r="A32" t="s">
        <v>22</v>
      </c>
      <c r="B32" t="s">
        <v>152</v>
      </c>
    </row>
    <row r="33" spans="1:2" ht="12.75">
      <c r="A33" t="s">
        <v>23</v>
      </c>
      <c r="B33" t="s">
        <v>153</v>
      </c>
    </row>
    <row r="34" spans="1:2" ht="12.75">
      <c r="A34" t="s">
        <v>154</v>
      </c>
      <c r="B34" t="s">
        <v>155</v>
      </c>
    </row>
    <row r="35" spans="1:2" ht="12.75">
      <c r="A35" t="s">
        <v>24</v>
      </c>
      <c r="B35" t="s">
        <v>158</v>
      </c>
    </row>
    <row r="36" spans="1:2" ht="12.75">
      <c r="A36" t="s">
        <v>7</v>
      </c>
      <c r="B36" t="s">
        <v>159</v>
      </c>
    </row>
    <row r="37" spans="1:2" ht="12.75">
      <c r="A37" t="s">
        <v>4</v>
      </c>
      <c r="B37" t="s">
        <v>156</v>
      </c>
    </row>
    <row r="39" spans="1:2" ht="12.75">
      <c r="A39" t="s">
        <v>160</v>
      </c>
      <c r="B39">
        <f>TreeEquityOpt(40,45,0.1,0,8.8,2,FALSE,TRUE,,TRUE,10,6)</f>
        <v>0.29671735801611115</v>
      </c>
    </row>
    <row r="41" s="18" customFormat="1" ht="12.75">
      <c r="A41" s="18" t="s">
        <v>161</v>
      </c>
    </row>
    <row r="42" s="18" customFormat="1" ht="12.75">
      <c r="A42" s="18" t="s">
        <v>162</v>
      </c>
    </row>
    <row r="43" s="18" customFormat="1" ht="12.75">
      <c r="A43" s="18" t="s">
        <v>145</v>
      </c>
    </row>
    <row r="44" spans="1:2" ht="12.75">
      <c r="A44" t="s">
        <v>0</v>
      </c>
      <c r="B44" t="s">
        <v>146</v>
      </c>
    </row>
    <row r="45" spans="1:2" ht="12.75">
      <c r="A45" t="s">
        <v>102</v>
      </c>
      <c r="B45" t="s">
        <v>147</v>
      </c>
    </row>
    <row r="46" spans="1:2" ht="12.75">
      <c r="A46" t="s">
        <v>1</v>
      </c>
      <c r="B46" t="s">
        <v>148</v>
      </c>
    </row>
    <row r="47" spans="1:2" ht="12.75">
      <c r="A47" t="s">
        <v>2</v>
      </c>
      <c r="B47" t="s">
        <v>149</v>
      </c>
    </row>
    <row r="48" spans="1:2" ht="12.75">
      <c r="A48" t="s">
        <v>3</v>
      </c>
      <c r="B48" t="s">
        <v>150</v>
      </c>
    </row>
    <row r="49" spans="1:2" ht="12.75">
      <c r="A49" t="s">
        <v>30</v>
      </c>
      <c r="B49" t="s">
        <v>151</v>
      </c>
    </row>
    <row r="50" spans="1:2" ht="12.75">
      <c r="A50" t="s">
        <v>22</v>
      </c>
      <c r="B50" t="s">
        <v>152</v>
      </c>
    </row>
    <row r="51" spans="1:2" ht="12.75">
      <c r="A51" t="s">
        <v>23</v>
      </c>
      <c r="B51" t="s">
        <v>153</v>
      </c>
    </row>
    <row r="52" spans="1:2" ht="12.75">
      <c r="A52" t="s">
        <v>154</v>
      </c>
      <c r="B52" t="s">
        <v>155</v>
      </c>
    </row>
    <row r="53" spans="1:2" ht="12.75">
      <c r="A53" t="s">
        <v>25</v>
      </c>
      <c r="B53" t="s">
        <v>163</v>
      </c>
    </row>
    <row r="54" spans="1:2" ht="12.75">
      <c r="A54" t="s">
        <v>4</v>
      </c>
      <c r="B54" t="s">
        <v>156</v>
      </c>
    </row>
    <row r="56" spans="1:4" ht="12.75">
      <c r="A56" t="s">
        <v>160</v>
      </c>
      <c r="B56">
        <f>BinaryOption(1000,900,0.1,0.03,0.25,0.75,TRUE,FALSE,,TRUE,1)</f>
        <v>0.0014098114630706204</v>
      </c>
      <c r="D56" t="s">
        <v>164</v>
      </c>
    </row>
    <row r="59" s="18" customFormat="1" ht="12.75">
      <c r="A59" s="18" t="s">
        <v>259</v>
      </c>
    </row>
    <row r="60" s="18" customFormat="1" ht="12.75">
      <c r="A60" s="18" t="s">
        <v>165</v>
      </c>
    </row>
    <row r="61" s="18" customFormat="1" ht="12.75">
      <c r="A61" s="18" t="s">
        <v>145</v>
      </c>
    </row>
    <row r="62" spans="1:2" ht="12.75">
      <c r="A62" t="s">
        <v>0</v>
      </c>
      <c r="B62" t="s">
        <v>146</v>
      </c>
    </row>
    <row r="63" spans="1:2" ht="12.75">
      <c r="A63" t="s">
        <v>102</v>
      </c>
      <c r="B63" t="s">
        <v>147</v>
      </c>
    </row>
    <row r="64" spans="1:2" ht="12.75">
      <c r="A64" t="s">
        <v>1</v>
      </c>
      <c r="B64" t="s">
        <v>148</v>
      </c>
    </row>
    <row r="65" spans="1:2" ht="12.75">
      <c r="A65" t="s">
        <v>2</v>
      </c>
      <c r="B65" t="s">
        <v>149</v>
      </c>
    </row>
    <row r="66" spans="1:2" ht="12.75">
      <c r="A66" t="s">
        <v>3</v>
      </c>
      <c r="B66" t="s">
        <v>150</v>
      </c>
    </row>
    <row r="67" spans="1:2" ht="12.75">
      <c r="A67" t="s">
        <v>30</v>
      </c>
      <c r="B67" t="s">
        <v>151</v>
      </c>
    </row>
    <row r="68" spans="1:2" ht="12.75">
      <c r="A68" t="s">
        <v>22</v>
      </c>
      <c r="B68" t="s">
        <v>152</v>
      </c>
    </row>
    <row r="69" spans="1:2" ht="12.75">
      <c r="A69" t="s">
        <v>23</v>
      </c>
      <c r="B69" t="s">
        <v>153</v>
      </c>
    </row>
    <row r="70" spans="1:2" ht="12.75">
      <c r="A70" t="s">
        <v>166</v>
      </c>
      <c r="B70" t="s">
        <v>8</v>
      </c>
    </row>
    <row r="71" spans="1:2" ht="12.75">
      <c r="A71" t="s">
        <v>35</v>
      </c>
      <c r="B71" t="s">
        <v>167</v>
      </c>
    </row>
    <row r="72" spans="1:2" ht="12.75">
      <c r="A72" t="s">
        <v>36</v>
      </c>
      <c r="B72" t="s">
        <v>168</v>
      </c>
    </row>
    <row r="73" spans="1:2" ht="12.75">
      <c r="A73" t="s">
        <v>4</v>
      </c>
      <c r="B73" t="s">
        <v>156</v>
      </c>
    </row>
    <row r="75" spans="1:4" ht="12.75">
      <c r="A75" t="s">
        <v>160</v>
      </c>
      <c r="B75">
        <f>BarrierOption(30,30,0.06,0.03,0.3,1,TRUE,FALSE,25,FALSE,FALSE,0)</f>
        <v>3.363928892933973</v>
      </c>
      <c r="D75" t="s">
        <v>169</v>
      </c>
    </row>
    <row r="78" s="18" customFormat="1" ht="12.75">
      <c r="A78" s="18" t="s">
        <v>260</v>
      </c>
    </row>
    <row r="79" s="18" customFormat="1" ht="12.75">
      <c r="A79" s="18" t="s">
        <v>170</v>
      </c>
    </row>
    <row r="80" s="18" customFormat="1" ht="12.75">
      <c r="A80" s="18" t="s">
        <v>145</v>
      </c>
    </row>
    <row r="81" spans="1:2" ht="12.75">
      <c r="A81" t="s">
        <v>0</v>
      </c>
      <c r="B81" t="s">
        <v>146</v>
      </c>
    </row>
    <row r="82" spans="1:2" ht="12.75">
      <c r="A82" t="s">
        <v>102</v>
      </c>
      <c r="B82" t="s">
        <v>147</v>
      </c>
    </row>
    <row r="83" spans="1:2" ht="12.75">
      <c r="A83" t="s">
        <v>1</v>
      </c>
      <c r="B83" t="s">
        <v>148</v>
      </c>
    </row>
    <row r="84" spans="1:2" ht="12.75">
      <c r="A84" t="s">
        <v>2</v>
      </c>
      <c r="B84" t="s">
        <v>149</v>
      </c>
    </row>
    <row r="85" spans="1:2" ht="12.75">
      <c r="A85" t="s">
        <v>3</v>
      </c>
      <c r="B85" t="s">
        <v>150</v>
      </c>
    </row>
    <row r="86" spans="1:2" ht="12.75">
      <c r="A86" t="s">
        <v>30</v>
      </c>
      <c r="B86" t="s">
        <v>151</v>
      </c>
    </row>
    <row r="87" spans="1:2" ht="12.75">
      <c r="A87" t="s">
        <v>22</v>
      </c>
      <c r="B87" t="s">
        <v>152</v>
      </c>
    </row>
    <row r="88" spans="1:2" ht="12.75">
      <c r="A88" t="s">
        <v>23</v>
      </c>
      <c r="B88" t="s">
        <v>153</v>
      </c>
    </row>
    <row r="89" spans="1:2" ht="12.75">
      <c r="A89" t="s">
        <v>171</v>
      </c>
      <c r="B89" t="s">
        <v>172</v>
      </c>
    </row>
    <row r="90" spans="1:2" ht="12.75">
      <c r="A90" t="s">
        <v>113</v>
      </c>
      <c r="B90" t="s">
        <v>173</v>
      </c>
    </row>
    <row r="91" spans="1:2" ht="12.75">
      <c r="A91" t="s">
        <v>4</v>
      </c>
      <c r="B91" t="s">
        <v>156</v>
      </c>
    </row>
    <row r="93" spans="1:2" ht="12.75">
      <c r="A93" t="s">
        <v>160</v>
      </c>
      <c r="B93">
        <f>AverageOption(50,50,0.05,0,0.4,1,TRUE,FALSE,49,0.25,1)</f>
        <v>0.4529102725904455</v>
      </c>
    </row>
    <row r="96" s="18" customFormat="1" ht="12.75">
      <c r="A96" s="18" t="s">
        <v>258</v>
      </c>
    </row>
    <row r="97" s="18" customFormat="1" ht="12.75">
      <c r="A97" s="18" t="s">
        <v>174</v>
      </c>
    </row>
    <row r="98" s="18" customFormat="1" ht="12.75">
      <c r="A98" s="18" t="s">
        <v>145</v>
      </c>
    </row>
    <row r="99" spans="1:2" ht="12.75">
      <c r="A99" t="s">
        <v>0</v>
      </c>
      <c r="B99" t="s">
        <v>146</v>
      </c>
    </row>
    <row r="100" spans="1:2" ht="12.75">
      <c r="A100" t="s">
        <v>102</v>
      </c>
      <c r="B100" t="s">
        <v>147</v>
      </c>
    </row>
    <row r="101" spans="1:2" ht="12.75">
      <c r="A101" t="s">
        <v>1</v>
      </c>
      <c r="B101" t="s">
        <v>148</v>
      </c>
    </row>
    <row r="102" spans="1:2" ht="12.75">
      <c r="A102" t="s">
        <v>2</v>
      </c>
      <c r="B102" t="s">
        <v>149</v>
      </c>
    </row>
    <row r="103" spans="1:2" ht="12.75">
      <c r="A103" t="s">
        <v>3</v>
      </c>
      <c r="B103" t="s">
        <v>150</v>
      </c>
    </row>
    <row r="104" spans="1:2" ht="12.75">
      <c r="A104" t="s">
        <v>30</v>
      </c>
      <c r="B104" t="s">
        <v>151</v>
      </c>
    </row>
    <row r="105" spans="1:2" ht="12.75">
      <c r="A105" t="s">
        <v>23</v>
      </c>
      <c r="B105" t="s">
        <v>153</v>
      </c>
    </row>
    <row r="106" spans="1:2" ht="12.75">
      <c r="A106" t="s">
        <v>114</v>
      </c>
      <c r="B106" t="s">
        <v>175</v>
      </c>
    </row>
    <row r="107" spans="1:2" ht="12.75">
      <c r="A107" t="s">
        <v>4</v>
      </c>
      <c r="B107" t="s">
        <v>156</v>
      </c>
    </row>
    <row r="109" spans="1:2" ht="12.75">
      <c r="A109" t="s">
        <v>160</v>
      </c>
      <c r="B109">
        <f>ChooserOption(50,50,0.06,0.02,0.3,3,FALSE,2,3)</f>
        <v>0.5235435076312243</v>
      </c>
    </row>
    <row r="112" s="18" customFormat="1" ht="12.75">
      <c r="A112" s="18" t="s">
        <v>176</v>
      </c>
    </row>
    <row r="113" s="18" customFormat="1" ht="12.75">
      <c r="A113" s="18" t="s">
        <v>177</v>
      </c>
    </row>
    <row r="114" s="18" customFormat="1" ht="12.75">
      <c r="A114" s="18" t="s">
        <v>145</v>
      </c>
    </row>
    <row r="115" spans="1:2" ht="12.75">
      <c r="A115" t="s">
        <v>0</v>
      </c>
      <c r="B115" t="s">
        <v>146</v>
      </c>
    </row>
    <row r="116" spans="1:2" ht="12.75">
      <c r="A116" t="s">
        <v>178</v>
      </c>
      <c r="B116" t="s">
        <v>179</v>
      </c>
    </row>
    <row r="117" spans="1:2" ht="12.75">
      <c r="A117" t="s">
        <v>1</v>
      </c>
      <c r="B117" t="s">
        <v>148</v>
      </c>
    </row>
    <row r="118" spans="1:2" ht="12.75">
      <c r="A118" t="s">
        <v>2</v>
      </c>
      <c r="B118" t="s">
        <v>149</v>
      </c>
    </row>
    <row r="119" spans="1:2" ht="12.75">
      <c r="A119" t="s">
        <v>3</v>
      </c>
      <c r="B119" t="s">
        <v>150</v>
      </c>
    </row>
    <row r="120" spans="1:2" ht="12.75">
      <c r="A120" t="s">
        <v>180</v>
      </c>
      <c r="B120" t="s">
        <v>181</v>
      </c>
    </row>
    <row r="121" spans="1:2" ht="12.75">
      <c r="A121" t="s">
        <v>22</v>
      </c>
      <c r="B121" t="s">
        <v>182</v>
      </c>
    </row>
    <row r="122" spans="1:2" ht="12.75">
      <c r="A122" t="s">
        <v>23</v>
      </c>
      <c r="B122" t="s">
        <v>153</v>
      </c>
    </row>
    <row r="123" spans="1:2" ht="12.75">
      <c r="A123" t="s">
        <v>183</v>
      </c>
      <c r="B123" t="s">
        <v>184</v>
      </c>
    </row>
    <row r="124" spans="1:2" ht="12.75">
      <c r="A124" t="s">
        <v>185</v>
      </c>
      <c r="B124" t="s">
        <v>186</v>
      </c>
    </row>
    <row r="125" spans="1:2" ht="12.75">
      <c r="A125" t="s">
        <v>26</v>
      </c>
      <c r="B125" t="s">
        <v>187</v>
      </c>
    </row>
    <row r="126" spans="1:2" ht="12.75">
      <c r="A126" t="s">
        <v>4</v>
      </c>
      <c r="B126" t="s">
        <v>156</v>
      </c>
    </row>
    <row r="128" spans="1:2" ht="12.75">
      <c r="A128" t="s">
        <v>160</v>
      </c>
      <c r="B128">
        <f>CompoundOption(50,5,0.06,0.02,0.3,0.75,FALSE,FALSE,50,1.5,FALSE,0)</f>
        <v>1.509561135979235</v>
      </c>
    </row>
    <row r="131" s="18" customFormat="1" ht="12.75">
      <c r="A131" s="16" t="s">
        <v>321</v>
      </c>
    </row>
    <row r="132" s="18" customFormat="1" ht="12.75">
      <c r="A132" s="18" t="s">
        <v>188</v>
      </c>
    </row>
    <row r="133" s="18" customFormat="1" ht="12.75">
      <c r="A133" s="18" t="s">
        <v>145</v>
      </c>
    </row>
    <row r="134" spans="1:2" ht="12.75">
      <c r="A134" t="s">
        <v>0</v>
      </c>
      <c r="B134" t="s">
        <v>146</v>
      </c>
    </row>
    <row r="135" spans="1:2" ht="12.75">
      <c r="A135" t="s">
        <v>1</v>
      </c>
      <c r="B135" t="s">
        <v>148</v>
      </c>
    </row>
    <row r="136" spans="1:2" ht="12.75">
      <c r="A136" t="s">
        <v>2</v>
      </c>
      <c r="B136" t="s">
        <v>149</v>
      </c>
    </row>
    <row r="137" spans="1:2" ht="12.75">
      <c r="A137" t="s">
        <v>3</v>
      </c>
      <c r="B137" t="s">
        <v>150</v>
      </c>
    </row>
    <row r="138" spans="1:2" ht="12.75">
      <c r="A138" t="s">
        <v>30</v>
      </c>
      <c r="B138" t="s">
        <v>151</v>
      </c>
    </row>
    <row r="139" spans="1:2" ht="12.75">
      <c r="A139" t="s">
        <v>22</v>
      </c>
      <c r="B139" t="s">
        <v>189</v>
      </c>
    </row>
    <row r="140" spans="1:2" ht="12.75">
      <c r="A140" t="s">
        <v>23</v>
      </c>
      <c r="B140" t="s">
        <v>153</v>
      </c>
    </row>
    <row r="141" spans="1:2" ht="12.75">
      <c r="A141" s="165" t="s">
        <v>319</v>
      </c>
      <c r="B141" s="165" t="s">
        <v>320</v>
      </c>
    </row>
    <row r="142" spans="1:2" ht="12.75">
      <c r="A142" t="s">
        <v>190</v>
      </c>
      <c r="B142" t="s">
        <v>191</v>
      </c>
    </row>
    <row r="143" spans="1:2" ht="12.75">
      <c r="A143" t="s">
        <v>192</v>
      </c>
      <c r="B143" t="s">
        <v>193</v>
      </c>
    </row>
    <row r="144" spans="1:2" ht="12.75">
      <c r="A144" s="165" t="s">
        <v>102</v>
      </c>
      <c r="B144" s="166" t="s">
        <v>322</v>
      </c>
    </row>
    <row r="145" spans="1:2" ht="12.75">
      <c r="A145" t="s">
        <v>4</v>
      </c>
      <c r="B145" t="s">
        <v>156</v>
      </c>
    </row>
    <row r="147" spans="1:2" ht="12.75">
      <c r="A147" t="s">
        <v>160</v>
      </c>
      <c r="B147">
        <f>LookbackOption(50,0.05,0.01,0.25,1,TRUE,FALSE,FALSE,105,95,50,0)</f>
        <v>9.958485619124936</v>
      </c>
    </row>
    <row r="150" ht="12.75">
      <c r="A150" s="18" t="s">
        <v>287</v>
      </c>
    </row>
    <row r="151" ht="12.75">
      <c r="A151" t="s">
        <v>254</v>
      </c>
    </row>
    <row r="152" ht="12.75">
      <c r="A152" t="s">
        <v>145</v>
      </c>
    </row>
    <row r="153" spans="1:2" ht="12.75">
      <c r="A153" t="s">
        <v>39</v>
      </c>
      <c r="B153" t="s">
        <v>262</v>
      </c>
    </row>
    <row r="154" spans="1:2" ht="12.75">
      <c r="A154" t="s">
        <v>0</v>
      </c>
      <c r="B154" t="s">
        <v>255</v>
      </c>
    </row>
    <row r="155" spans="1:2" ht="12.75">
      <c r="A155" t="s">
        <v>23</v>
      </c>
      <c r="B155" t="s">
        <v>256</v>
      </c>
    </row>
    <row r="156" spans="1:2" ht="12.75">
      <c r="A156" t="s">
        <v>1</v>
      </c>
      <c r="B156" t="s">
        <v>148</v>
      </c>
    </row>
    <row r="157" spans="1:2" ht="12.75">
      <c r="A157" t="s">
        <v>2</v>
      </c>
      <c r="B157" t="s">
        <v>149</v>
      </c>
    </row>
    <row r="158" spans="1:2" ht="12.75">
      <c r="A158" t="s">
        <v>154</v>
      </c>
      <c r="B158" t="s">
        <v>155</v>
      </c>
    </row>
    <row r="159" spans="1:2" ht="12.75">
      <c r="A159" t="s">
        <v>3</v>
      </c>
      <c r="B159" t="s">
        <v>14</v>
      </c>
    </row>
    <row r="160" spans="1:2" ht="12.75">
      <c r="A160" t="s">
        <v>86</v>
      </c>
      <c r="B160" t="s">
        <v>257</v>
      </c>
    </row>
    <row r="161" spans="1:2" ht="12.75">
      <c r="A161" t="s">
        <v>4</v>
      </c>
      <c r="B161" t="s">
        <v>270</v>
      </c>
    </row>
    <row r="163" ht="12.75">
      <c r="A163" s="66" t="s">
        <v>285</v>
      </c>
    </row>
    <row r="164" ht="13.5" thickBot="1">
      <c r="B164" s="2" t="s">
        <v>100</v>
      </c>
    </row>
    <row r="165" spans="1:9" ht="12.75">
      <c r="A165" t="s">
        <v>103</v>
      </c>
      <c r="B165" s="12">
        <v>0</v>
      </c>
      <c r="C165" s="41" t="s">
        <v>101</v>
      </c>
      <c r="D165" s="41"/>
      <c r="E165" s="41"/>
      <c r="F165" s="41"/>
      <c r="G165" s="41"/>
      <c r="H165" s="41"/>
      <c r="I165" s="6"/>
    </row>
    <row r="166" spans="1:9" ht="12.75">
      <c r="A166" t="s">
        <v>104</v>
      </c>
      <c r="B166" s="20">
        <v>1</v>
      </c>
      <c r="C166" s="23" t="s">
        <v>101</v>
      </c>
      <c r="D166" s="23" t="s">
        <v>102</v>
      </c>
      <c r="E166" s="23" t="s">
        <v>30</v>
      </c>
      <c r="F166" s="23" t="s">
        <v>22</v>
      </c>
      <c r="G166" s="23"/>
      <c r="H166" s="23"/>
      <c r="I166" s="8"/>
    </row>
    <row r="167" spans="1:9" ht="12.75">
      <c r="A167" t="s">
        <v>105</v>
      </c>
      <c r="B167" s="20">
        <v>2</v>
      </c>
      <c r="C167" s="23" t="s">
        <v>101</v>
      </c>
      <c r="D167" s="23" t="s">
        <v>102</v>
      </c>
      <c r="E167" s="23" t="s">
        <v>30</v>
      </c>
      <c r="F167" s="23" t="s">
        <v>22</v>
      </c>
      <c r="G167" s="23" t="s">
        <v>7</v>
      </c>
      <c r="H167" s="23" t="s">
        <v>24</v>
      </c>
      <c r="I167" s="8"/>
    </row>
    <row r="168" spans="1:9" ht="12.75">
      <c r="A168" t="s">
        <v>106</v>
      </c>
      <c r="B168" s="20">
        <v>3</v>
      </c>
      <c r="C168" s="23" t="s">
        <v>101</v>
      </c>
      <c r="D168" s="23" t="s">
        <v>102</v>
      </c>
      <c r="E168" s="23" t="s">
        <v>30</v>
      </c>
      <c r="F168" s="23" t="s">
        <v>22</v>
      </c>
      <c r="G168" s="23" t="s">
        <v>25</v>
      </c>
      <c r="H168" s="23"/>
      <c r="I168" s="8"/>
    </row>
    <row r="169" spans="1:9" ht="12.75">
      <c r="A169" t="s">
        <v>107</v>
      </c>
      <c r="B169" s="20">
        <v>4</v>
      </c>
      <c r="C169" s="23" t="s">
        <v>101</v>
      </c>
      <c r="D169" s="23" t="s">
        <v>102</v>
      </c>
      <c r="E169" s="23" t="s">
        <v>30</v>
      </c>
      <c r="F169" s="23" t="s">
        <v>22</v>
      </c>
      <c r="G169" s="23" t="s">
        <v>8</v>
      </c>
      <c r="H169" s="23" t="s">
        <v>35</v>
      </c>
      <c r="I169" s="8" t="s">
        <v>36</v>
      </c>
    </row>
    <row r="170" spans="1:9" ht="12.75">
      <c r="A170" t="s">
        <v>108</v>
      </c>
      <c r="B170" s="20">
        <v>5</v>
      </c>
      <c r="C170" s="23" t="s">
        <v>101</v>
      </c>
      <c r="D170" s="23" t="s">
        <v>102</v>
      </c>
      <c r="E170" s="23" t="s">
        <v>30</v>
      </c>
      <c r="F170" s="23" t="s">
        <v>22</v>
      </c>
      <c r="G170" s="23" t="s">
        <v>171</v>
      </c>
      <c r="H170" s="23" t="s">
        <v>113</v>
      </c>
      <c r="I170" s="8"/>
    </row>
    <row r="171" spans="1:9" ht="12.75">
      <c r="A171" t="s">
        <v>109</v>
      </c>
      <c r="B171" s="20">
        <v>6</v>
      </c>
      <c r="C171" s="23" t="s">
        <v>101</v>
      </c>
      <c r="D171" s="23" t="s">
        <v>102</v>
      </c>
      <c r="E171" s="23" t="s">
        <v>30</v>
      </c>
      <c r="F171" s="23" t="s">
        <v>114</v>
      </c>
      <c r="G171" s="23"/>
      <c r="H171" s="23"/>
      <c r="I171" s="8"/>
    </row>
    <row r="172" spans="1:9" ht="12.75">
      <c r="A172" t="s">
        <v>110</v>
      </c>
      <c r="B172" s="20">
        <v>7</v>
      </c>
      <c r="C172" s="23" t="s">
        <v>101</v>
      </c>
      <c r="D172" s="23" t="s">
        <v>178</v>
      </c>
      <c r="E172" s="23" t="s">
        <v>180</v>
      </c>
      <c r="F172" s="23" t="s">
        <v>22</v>
      </c>
      <c r="G172" s="23" t="s">
        <v>183</v>
      </c>
      <c r="H172" s="23" t="s">
        <v>185</v>
      </c>
      <c r="I172" s="8" t="s">
        <v>115</v>
      </c>
    </row>
    <row r="173" spans="1:16" s="18" customFormat="1" ht="13.5" thickBot="1">
      <c r="A173" t="s">
        <v>111</v>
      </c>
      <c r="B173" s="13">
        <v>8</v>
      </c>
      <c r="C173" s="25" t="s">
        <v>101</v>
      </c>
      <c r="D173" s="25" t="s">
        <v>102</v>
      </c>
      <c r="E173" s="25" t="s">
        <v>30</v>
      </c>
      <c r="F173" s="25" t="s">
        <v>22</v>
      </c>
      <c r="G173" s="25" t="s">
        <v>319</v>
      </c>
      <c r="H173" s="25" t="s">
        <v>190</v>
      </c>
      <c r="I173" s="167" t="s">
        <v>192</v>
      </c>
      <c r="J173"/>
      <c r="K173"/>
      <c r="L173"/>
      <c r="M173"/>
      <c r="N173"/>
      <c r="O173"/>
      <c r="P173"/>
    </row>
    <row r="174" spans="1:16" s="18" customFormat="1" ht="12.75">
      <c r="A174"/>
      <c r="B174" s="23"/>
      <c r="C174" s="23"/>
      <c r="D174" s="23"/>
      <c r="E174" s="23"/>
      <c r="F174" s="23"/>
      <c r="G174" s="104"/>
      <c r="H174" s="104"/>
      <c r="I174" s="23"/>
      <c r="J174"/>
      <c r="K174"/>
      <c r="L174"/>
      <c r="M174"/>
      <c r="N174"/>
      <c r="O174"/>
      <c r="P174"/>
    </row>
    <row r="175" spans="1:16" s="18" customFormat="1" ht="12.75">
      <c r="A175" s="66" t="s">
        <v>286</v>
      </c>
      <c r="B175" s="23"/>
      <c r="C175" s="23"/>
      <c r="D175" s="23"/>
      <c r="E175" s="23"/>
      <c r="F175" s="23"/>
      <c r="G175" s="104"/>
      <c r="H175" s="104"/>
      <c r="I175" s="23"/>
      <c r="J175"/>
      <c r="K175"/>
      <c r="L175"/>
      <c r="M175"/>
      <c r="N175"/>
      <c r="O175"/>
      <c r="P175"/>
    </row>
    <row r="176" spans="1:16" s="18" customFormat="1" ht="13.5" thickBot="1">
      <c r="A176"/>
      <c r="B176" s="2" t="s">
        <v>100</v>
      </c>
      <c r="C176" s="2" t="s">
        <v>101</v>
      </c>
      <c r="D176"/>
      <c r="E176"/>
      <c r="F176"/>
      <c r="G176"/>
      <c r="H176"/>
      <c r="I176"/>
      <c r="J176" s="2"/>
      <c r="K176"/>
      <c r="L176"/>
      <c r="M176"/>
      <c r="N176"/>
      <c r="O176"/>
      <c r="P176"/>
    </row>
    <row r="177" spans="1:13" s="18" customFormat="1" ht="12.75">
      <c r="A177" t="s">
        <v>103</v>
      </c>
      <c r="B177" s="12">
        <v>0</v>
      </c>
      <c r="C177" s="41">
        <v>100</v>
      </c>
      <c r="D177" s="41"/>
      <c r="E177" s="41"/>
      <c r="F177" s="41"/>
      <c r="G177" s="41"/>
      <c r="H177" s="6"/>
      <c r="I177" s="23"/>
      <c r="J177" s="2"/>
      <c r="K177"/>
      <c r="L177"/>
      <c r="M177"/>
    </row>
    <row r="178" spans="1:13" s="18" customFormat="1" ht="12.75">
      <c r="A178" t="s">
        <v>104</v>
      </c>
      <c r="B178" s="20">
        <v>1</v>
      </c>
      <c r="C178" s="23">
        <v>50</v>
      </c>
      <c r="D178" s="23">
        <v>55</v>
      </c>
      <c r="E178" s="23">
        <v>0.5</v>
      </c>
      <c r="F178" s="23" t="b">
        <v>1</v>
      </c>
      <c r="G178" s="23"/>
      <c r="H178" s="8"/>
      <c r="I178" s="23"/>
      <c r="J178" s="2"/>
      <c r="K178"/>
      <c r="L178"/>
      <c r="M178"/>
    </row>
    <row r="179" spans="1:13" s="18" customFormat="1" ht="12.75">
      <c r="A179" t="s">
        <v>104</v>
      </c>
      <c r="B179" s="20">
        <v>1</v>
      </c>
      <c r="C179" s="23">
        <v>50</v>
      </c>
      <c r="D179" s="23">
        <v>48</v>
      </c>
      <c r="E179" s="23">
        <v>0.75</v>
      </c>
      <c r="F179" s="23" t="b">
        <v>1</v>
      </c>
      <c r="G179" s="23"/>
      <c r="H179" s="8"/>
      <c r="I179" s="23"/>
      <c r="J179" s="2"/>
      <c r="K179"/>
      <c r="L179"/>
      <c r="M179"/>
    </row>
    <row r="180" spans="1:13" s="18" customFormat="1" ht="13.5" thickBot="1">
      <c r="A180" t="s">
        <v>105</v>
      </c>
      <c r="B180" s="13">
        <v>2</v>
      </c>
      <c r="C180" s="25">
        <v>100</v>
      </c>
      <c r="D180" s="25">
        <v>50</v>
      </c>
      <c r="E180" s="25">
        <v>0.5</v>
      </c>
      <c r="F180" s="25" t="b">
        <v>0</v>
      </c>
      <c r="G180" s="25">
        <v>25</v>
      </c>
      <c r="H180" s="14" t="b">
        <v>1</v>
      </c>
      <c r="I180" s="23"/>
      <c r="J180" s="2"/>
      <c r="K180"/>
      <c r="L180"/>
      <c r="M180"/>
    </row>
    <row r="181" spans="1:13" s="18" customFormat="1" ht="12.75">
      <c r="A181"/>
      <c r="B181"/>
      <c r="C181"/>
      <c r="D181"/>
      <c r="E181"/>
      <c r="F181"/>
      <c r="G181"/>
      <c r="H181"/>
      <c r="I181"/>
      <c r="J181" s="2"/>
      <c r="K181"/>
      <c r="L181"/>
      <c r="M181"/>
    </row>
    <row r="182" spans="1:13" s="18" customFormat="1" ht="12.75">
      <c r="A182" t="s">
        <v>261</v>
      </c>
      <c r="B182" s="23">
        <f>EPortfolio(0,50,FALSE,0.06,0.03,,0.3,$B$177:$H$180,0)</f>
        <v>5845.4853252447865</v>
      </c>
      <c r="C182" s="23"/>
      <c r="D182" s="23"/>
      <c r="E182" s="23"/>
      <c r="F182" s="23"/>
      <c r="G182" s="104"/>
      <c r="H182" s="104"/>
      <c r="I182" s="23"/>
      <c r="J182" s="2"/>
      <c r="K182"/>
      <c r="L182"/>
      <c r="M182"/>
    </row>
    <row r="183" spans="1:13" s="18" customFormat="1" ht="12.75">
      <c r="A183"/>
      <c r="B183" s="23"/>
      <c r="C183" s="23"/>
      <c r="D183" s="23"/>
      <c r="E183" s="23"/>
      <c r="F183" s="23"/>
      <c r="G183" s="104"/>
      <c r="H183" s="104"/>
      <c r="I183" s="23"/>
      <c r="J183" s="2"/>
      <c r="K183"/>
      <c r="L183"/>
      <c r="M183"/>
    </row>
    <row r="184" spans="1:13" s="18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9" ht="12.75">
      <c r="A185" s="18" t="s">
        <v>263</v>
      </c>
      <c r="B185" s="18"/>
      <c r="C185" s="18"/>
      <c r="D185" s="18"/>
      <c r="E185" s="18"/>
      <c r="F185" s="18"/>
      <c r="G185" s="18"/>
      <c r="H185" s="18"/>
      <c r="I185" s="18"/>
    </row>
    <row r="186" spans="1:9" ht="13.5" thickBot="1">
      <c r="A186" s="18" t="s">
        <v>194</v>
      </c>
      <c r="B186" s="18"/>
      <c r="C186" s="18"/>
      <c r="D186" s="18"/>
      <c r="E186" s="18"/>
      <c r="F186" s="18"/>
      <c r="G186" s="18"/>
      <c r="H186" s="18"/>
      <c r="I186" s="18"/>
    </row>
    <row r="187" spans="1:11" ht="13.5" thickBot="1">
      <c r="A187" s="18" t="s">
        <v>145</v>
      </c>
      <c r="B187" s="18"/>
      <c r="C187" s="18"/>
      <c r="D187" s="18"/>
      <c r="E187" s="18"/>
      <c r="F187" s="18"/>
      <c r="G187" s="18"/>
      <c r="H187" s="18"/>
      <c r="I187" s="18"/>
      <c r="J187" s="191" t="s">
        <v>9</v>
      </c>
      <c r="K187" s="192"/>
    </row>
    <row r="188" spans="1:11" ht="12.75">
      <c r="A188" s="66" t="s">
        <v>10</v>
      </c>
      <c r="B188" t="s">
        <v>195</v>
      </c>
      <c r="C188" s="18"/>
      <c r="D188" s="18"/>
      <c r="E188" s="18"/>
      <c r="F188" s="18"/>
      <c r="G188" s="18"/>
      <c r="H188" s="18"/>
      <c r="I188" s="18"/>
      <c r="J188" s="12">
        <v>0</v>
      </c>
      <c r="K188" s="19">
        <v>0.03</v>
      </c>
    </row>
    <row r="189" spans="1:11" ht="12.75">
      <c r="A189" s="66" t="s">
        <v>11</v>
      </c>
      <c r="B189" t="s">
        <v>196</v>
      </c>
      <c r="C189" s="18"/>
      <c r="D189" s="18"/>
      <c r="E189" s="18"/>
      <c r="F189" s="18"/>
      <c r="G189" s="18"/>
      <c r="H189" s="18"/>
      <c r="I189" s="18"/>
      <c r="J189" s="20">
        <v>0.5</v>
      </c>
      <c r="K189" s="21">
        <v>0.033525092922462134</v>
      </c>
    </row>
    <row r="190" spans="1:11" ht="12.75">
      <c r="A190" s="66" t="s">
        <v>141</v>
      </c>
      <c r="B190" t="s">
        <v>12</v>
      </c>
      <c r="J190" s="20">
        <v>1</v>
      </c>
      <c r="K190" s="21">
        <v>0.036635976507857854</v>
      </c>
    </row>
    <row r="191" spans="1:11" ht="12.75">
      <c r="A191" s="66" t="s">
        <v>197</v>
      </c>
      <c r="B191" t="s">
        <v>198</v>
      </c>
      <c r="J191" s="20">
        <v>1.5</v>
      </c>
      <c r="K191" s="21">
        <v>0.03938132163627083</v>
      </c>
    </row>
    <row r="192" spans="1:11" ht="12.75">
      <c r="A192" s="66" t="s">
        <v>199</v>
      </c>
      <c r="B192" t="s">
        <v>200</v>
      </c>
      <c r="J192" s="20">
        <v>2</v>
      </c>
      <c r="K192" s="21">
        <v>0.041804080208620996</v>
      </c>
    </row>
    <row r="193" spans="1:11" ht="12.75">
      <c r="A193" s="66" t="s">
        <v>3</v>
      </c>
      <c r="B193" t="s">
        <v>201</v>
      </c>
      <c r="J193" s="20">
        <v>2.5</v>
      </c>
      <c r="K193" s="21">
        <v>0.04394215714443029</v>
      </c>
    </row>
    <row r="194" spans="1:11" ht="12.75">
      <c r="A194" s="66" t="s">
        <v>28</v>
      </c>
      <c r="B194" t="s">
        <v>288</v>
      </c>
      <c r="J194" s="20">
        <v>3</v>
      </c>
      <c r="K194" s="21">
        <v>0.045829003417769555</v>
      </c>
    </row>
    <row r="195" spans="1:11" ht="12.75">
      <c r="A195" s="66" t="s">
        <v>202</v>
      </c>
      <c r="B195" t="s">
        <v>290</v>
      </c>
      <c r="J195" s="120">
        <v>3.5</v>
      </c>
      <c r="K195" s="121">
        <v>0.047494139409644746</v>
      </c>
    </row>
    <row r="196" spans="1:11" ht="12.75">
      <c r="A196" s="66" t="s">
        <v>4</v>
      </c>
      <c r="B196" t="s">
        <v>203</v>
      </c>
      <c r="J196" s="120">
        <v>4</v>
      </c>
      <c r="K196" s="121">
        <v>0.04896361676485673</v>
      </c>
    </row>
    <row r="197" spans="1:11" ht="12.75">
      <c r="A197" s="66"/>
      <c r="J197" s="120">
        <v>4.5</v>
      </c>
      <c r="K197" s="121">
        <v>0.050260425979249505</v>
      </c>
    </row>
    <row r="198" spans="1:11" ht="12.75">
      <c r="A198" s="66" t="s">
        <v>160</v>
      </c>
      <c r="B198">
        <f>BlackCap(1,5,0.05,100,4,0.18,TRUE,$J$188:$K$208,0)</f>
        <v>3.2574263534088166</v>
      </c>
      <c r="J198" s="20">
        <v>5</v>
      </c>
      <c r="K198" s="21">
        <v>0.0514048560941943</v>
      </c>
    </row>
    <row r="199" spans="1:11" ht="12.75">
      <c r="A199" s="66"/>
      <c r="J199" s="20">
        <v>5.5</v>
      </c>
      <c r="K199" s="21">
        <v>0.05241481212585761</v>
      </c>
    </row>
    <row r="200" spans="1:11" ht="12.75">
      <c r="A200" s="66"/>
      <c r="J200" s="20">
        <v>6</v>
      </c>
      <c r="K200" s="21">
        <v>0.053306095195547104</v>
      </c>
    </row>
    <row r="201" spans="1:11" ht="12.75">
      <c r="A201" s="18" t="s">
        <v>264</v>
      </c>
      <c r="B201" s="18"/>
      <c r="C201" s="18"/>
      <c r="D201" s="18"/>
      <c r="E201" s="18"/>
      <c r="F201" s="18"/>
      <c r="G201" s="18"/>
      <c r="H201" s="18"/>
      <c r="I201" s="18"/>
      <c r="J201" s="20">
        <v>6.5</v>
      </c>
      <c r="K201" s="21">
        <v>0.05409264974387418</v>
      </c>
    </row>
    <row r="202" spans="1:11" ht="12.75">
      <c r="A202" s="18" t="s">
        <v>204</v>
      </c>
      <c r="B202" s="18"/>
      <c r="C202" s="18"/>
      <c r="D202" s="18"/>
      <c r="E202" s="18"/>
      <c r="F202" s="18"/>
      <c r="G202" s="18"/>
      <c r="H202" s="18"/>
      <c r="I202" s="18"/>
      <c r="J202" s="20">
        <v>7</v>
      </c>
      <c r="K202" s="21">
        <v>0.054786781696486646</v>
      </c>
    </row>
    <row r="203" spans="1:11" ht="12.75">
      <c r="A203" s="18" t="s">
        <v>145</v>
      </c>
      <c r="B203" s="18"/>
      <c r="C203" s="18"/>
      <c r="D203" s="18"/>
      <c r="E203" s="18"/>
      <c r="F203" s="18"/>
      <c r="G203" s="18"/>
      <c r="H203" s="18"/>
      <c r="I203" s="18"/>
      <c r="J203" s="20">
        <v>7.5</v>
      </c>
      <c r="K203" s="21">
        <v>0.055399350994652145</v>
      </c>
    </row>
    <row r="204" spans="1:11" ht="12.75">
      <c r="A204" s="66" t="s">
        <v>10</v>
      </c>
      <c r="B204" t="s">
        <v>195</v>
      </c>
      <c r="J204" s="20">
        <v>8</v>
      </c>
      <c r="K204" s="21">
        <v>0.055939941502901616</v>
      </c>
    </row>
    <row r="205" spans="1:11" ht="12.75">
      <c r="A205" s="66" t="s">
        <v>11</v>
      </c>
      <c r="B205" t="s">
        <v>196</v>
      </c>
      <c r="J205" s="20">
        <v>8.5</v>
      </c>
      <c r="K205" s="21">
        <v>0.05641701095199841</v>
      </c>
    </row>
    <row r="206" spans="1:11" ht="12.75">
      <c r="A206" s="66" t="s">
        <v>141</v>
      </c>
      <c r="B206" t="s">
        <v>12</v>
      </c>
      <c r="J206" s="20">
        <v>9</v>
      </c>
      <c r="K206" s="21">
        <v>0.05683802326314407</v>
      </c>
    </row>
    <row r="207" spans="1:11" ht="12.75">
      <c r="A207" s="66" t="s">
        <v>197</v>
      </c>
      <c r="B207" t="s">
        <v>198</v>
      </c>
      <c r="J207" s="20">
        <v>9.5</v>
      </c>
      <c r="K207" s="21">
        <v>0.057209565323680094</v>
      </c>
    </row>
    <row r="208" spans="1:11" ht="13.5" thickBot="1">
      <c r="A208" s="66" t="s">
        <v>199</v>
      </c>
      <c r="B208" t="s">
        <v>200</v>
      </c>
      <c r="J208" s="13">
        <v>10</v>
      </c>
      <c r="K208" s="22">
        <v>0.057537450041283036</v>
      </c>
    </row>
    <row r="209" spans="1:2" ht="12.75">
      <c r="A209" s="66" t="s">
        <v>205</v>
      </c>
      <c r="B209" t="s">
        <v>206</v>
      </c>
    </row>
    <row r="210" spans="1:2" ht="12.75">
      <c r="A210" s="66" t="s">
        <v>207</v>
      </c>
      <c r="B210" t="s">
        <v>208</v>
      </c>
    </row>
    <row r="211" spans="1:2" ht="12.75">
      <c r="A211" s="66" t="s">
        <v>28</v>
      </c>
      <c r="B211" t="s">
        <v>209</v>
      </c>
    </row>
    <row r="212" spans="1:2" ht="12.75">
      <c r="A212" s="66" t="s">
        <v>202</v>
      </c>
      <c r="B212" t="s">
        <v>290</v>
      </c>
    </row>
    <row r="213" spans="1:2" ht="12.75">
      <c r="A213" s="66" t="s">
        <v>4</v>
      </c>
      <c r="B213" t="s">
        <v>203</v>
      </c>
    </row>
    <row r="214" ht="12.75">
      <c r="A214" s="66"/>
    </row>
    <row r="215" spans="1:2" ht="12.75">
      <c r="A215" s="66" t="s">
        <v>160</v>
      </c>
      <c r="B215">
        <f>HullWhiteCap(1,5,0.05,100,4,0.01,0.05,TRUE,$J$188:$K$208,0)</f>
        <v>3.2304028995753598</v>
      </c>
    </row>
    <row r="218" spans="1:9" ht="12.75">
      <c r="A218" s="18" t="s">
        <v>265</v>
      </c>
      <c r="B218" s="18"/>
      <c r="C218" s="18"/>
      <c r="D218" s="18"/>
      <c r="E218" s="18"/>
      <c r="F218" s="18"/>
      <c r="G218" s="18"/>
      <c r="H218" s="18"/>
      <c r="I218" s="18"/>
    </row>
    <row r="219" spans="1:9" ht="12.75">
      <c r="A219" s="18" t="s">
        <v>210</v>
      </c>
      <c r="B219" s="18"/>
      <c r="C219" s="18"/>
      <c r="D219" s="18"/>
      <c r="E219" s="18"/>
      <c r="F219" s="18"/>
      <c r="G219" s="18"/>
      <c r="H219" s="18"/>
      <c r="I219" s="18"/>
    </row>
    <row r="220" spans="1:9" ht="12.75">
      <c r="A220" s="18" t="s">
        <v>145</v>
      </c>
      <c r="B220" s="18"/>
      <c r="C220" s="18"/>
      <c r="D220" s="18"/>
      <c r="E220" s="18"/>
      <c r="F220" s="18"/>
      <c r="G220" s="18"/>
      <c r="H220" s="18"/>
      <c r="I220" s="18"/>
    </row>
    <row r="221" spans="1:2" ht="12.75">
      <c r="A221" s="66" t="s">
        <v>10</v>
      </c>
      <c r="B221" t="s">
        <v>195</v>
      </c>
    </row>
    <row r="222" spans="1:2" ht="12.75">
      <c r="A222" s="66" t="s">
        <v>11</v>
      </c>
      <c r="B222" t="s">
        <v>196</v>
      </c>
    </row>
    <row r="223" spans="1:2" ht="12.75">
      <c r="A223" s="66" t="s">
        <v>141</v>
      </c>
      <c r="B223" t="s">
        <v>12</v>
      </c>
    </row>
    <row r="224" spans="1:2" ht="12.75">
      <c r="A224" s="66" t="s">
        <v>197</v>
      </c>
      <c r="B224" t="s">
        <v>211</v>
      </c>
    </row>
    <row r="225" spans="1:2" ht="12.75">
      <c r="A225" s="66" t="s">
        <v>199</v>
      </c>
      <c r="B225" t="s">
        <v>200</v>
      </c>
    </row>
    <row r="226" spans="1:2" ht="12.75">
      <c r="A226" s="66" t="s">
        <v>205</v>
      </c>
      <c r="B226" t="s">
        <v>212</v>
      </c>
    </row>
    <row r="227" spans="1:2" ht="12.75">
      <c r="A227" s="66" t="s">
        <v>207</v>
      </c>
      <c r="B227" t="s">
        <v>208</v>
      </c>
    </row>
    <row r="228" spans="1:2" ht="12.75">
      <c r="A228" s="66" t="s">
        <v>28</v>
      </c>
      <c r="B228" t="s">
        <v>209</v>
      </c>
    </row>
    <row r="229" spans="1:2" ht="12.75">
      <c r="A229" s="66" t="s">
        <v>16</v>
      </c>
      <c r="B229" t="s">
        <v>213</v>
      </c>
    </row>
    <row r="230" spans="1:2" ht="12.75">
      <c r="A230" s="66" t="s">
        <v>7</v>
      </c>
      <c r="B230" t="s">
        <v>214</v>
      </c>
    </row>
    <row r="231" spans="1:2" ht="12.75">
      <c r="A231" s="66" t="s">
        <v>202</v>
      </c>
      <c r="B231" t="s">
        <v>290</v>
      </c>
    </row>
    <row r="232" spans="1:2" ht="12.75">
      <c r="A232" s="66" t="s">
        <v>4</v>
      </c>
      <c r="B232" t="s">
        <v>215</v>
      </c>
    </row>
    <row r="233" ht="12.75">
      <c r="A233" s="66"/>
    </row>
    <row r="234" spans="1:2" ht="12.75">
      <c r="A234" s="66" t="s">
        <v>160</v>
      </c>
      <c r="B234">
        <f>TreeCap(1,5,0.05,100,4,0.01,0.05,TRUE,0,50,$J$188:$K$208,0)</f>
        <v>3.2395834356794206</v>
      </c>
    </row>
    <row r="237" spans="1:9" ht="12.75">
      <c r="A237" s="18" t="s">
        <v>266</v>
      </c>
      <c r="B237" s="18"/>
      <c r="C237" s="18"/>
      <c r="D237" s="18"/>
      <c r="E237" s="18"/>
      <c r="F237" s="18"/>
      <c r="G237" s="18"/>
      <c r="H237" s="18"/>
      <c r="I237" s="18"/>
    </row>
    <row r="238" spans="1:9" ht="12.75">
      <c r="A238" s="18" t="s">
        <v>216</v>
      </c>
      <c r="B238" s="18"/>
      <c r="C238" s="18"/>
      <c r="D238" s="18"/>
      <c r="E238" s="18"/>
      <c r="F238" s="18"/>
      <c r="G238" s="18"/>
      <c r="H238" s="18"/>
      <c r="I238" s="18"/>
    </row>
    <row r="239" spans="1:9" ht="12.75">
      <c r="A239" s="18" t="s">
        <v>145</v>
      </c>
      <c r="B239" s="18"/>
      <c r="C239" s="18"/>
      <c r="D239" s="18"/>
      <c r="E239" s="18"/>
      <c r="F239" s="18"/>
      <c r="G239" s="18"/>
      <c r="H239" s="18"/>
      <c r="I239" s="18"/>
    </row>
    <row r="240" spans="1:2" ht="12.75">
      <c r="A240" s="66" t="s">
        <v>10</v>
      </c>
      <c r="B240" t="s">
        <v>217</v>
      </c>
    </row>
    <row r="241" spans="1:2" ht="12.75">
      <c r="A241" s="66" t="s">
        <v>11</v>
      </c>
      <c r="B241" t="s">
        <v>218</v>
      </c>
    </row>
    <row r="242" spans="1:2" ht="12.75">
      <c r="A242" s="66" t="s">
        <v>140</v>
      </c>
      <c r="B242" t="s">
        <v>219</v>
      </c>
    </row>
    <row r="243" spans="1:2" ht="12.75">
      <c r="A243" s="66" t="s">
        <v>197</v>
      </c>
      <c r="B243" t="s">
        <v>220</v>
      </c>
    </row>
    <row r="244" spans="1:2" ht="12.75">
      <c r="A244" s="66" t="s">
        <v>199</v>
      </c>
      <c r="B244" t="s">
        <v>221</v>
      </c>
    </row>
    <row r="245" spans="1:2" ht="12.75">
      <c r="A245" s="66" t="s">
        <v>3</v>
      </c>
      <c r="B245" t="s">
        <v>222</v>
      </c>
    </row>
    <row r="246" spans="1:2" ht="12.75">
      <c r="A246" s="66" t="s">
        <v>223</v>
      </c>
      <c r="B246" t="s">
        <v>224</v>
      </c>
    </row>
    <row r="247" spans="1:2" ht="12.75">
      <c r="A247" s="66" t="s">
        <v>202</v>
      </c>
      <c r="B247" t="s">
        <v>290</v>
      </c>
    </row>
    <row r="248" spans="1:2" ht="12.75">
      <c r="A248" s="66" t="s">
        <v>4</v>
      </c>
      <c r="B248" t="s">
        <v>225</v>
      </c>
    </row>
    <row r="250" spans="1:2" ht="12.75">
      <c r="A250" t="s">
        <v>160</v>
      </c>
      <c r="B250">
        <f>BlackSwapOpt(5,10,0.07,100,2,0.2,TRUE,$J$188:$K$208,0)</f>
        <v>3.074194173725429</v>
      </c>
    </row>
    <row r="253" spans="1:9" ht="12.75">
      <c r="A253" s="18" t="s">
        <v>267</v>
      </c>
      <c r="B253" s="18"/>
      <c r="C253" s="18"/>
      <c r="D253" s="18"/>
      <c r="E253" s="18"/>
      <c r="F253" s="18"/>
      <c r="G253" s="18"/>
      <c r="H253" s="18"/>
      <c r="I253" s="18"/>
    </row>
    <row r="254" spans="1:9" ht="12.75">
      <c r="A254" s="18" t="s">
        <v>226</v>
      </c>
      <c r="B254" s="18"/>
      <c r="C254" s="18"/>
      <c r="D254" s="18"/>
      <c r="E254" s="18"/>
      <c r="F254" s="18"/>
      <c r="G254" s="18"/>
      <c r="H254" s="18"/>
      <c r="I254" s="18"/>
    </row>
    <row r="255" spans="1:9" ht="12.75">
      <c r="A255" s="18" t="s">
        <v>145</v>
      </c>
      <c r="B255" s="18"/>
      <c r="C255" s="18"/>
      <c r="D255" s="18"/>
      <c r="E255" s="18"/>
      <c r="F255" s="18"/>
      <c r="G255" s="18"/>
      <c r="H255" s="18"/>
      <c r="I255" s="18"/>
    </row>
    <row r="256" spans="1:2" ht="12.75">
      <c r="A256" s="66" t="s">
        <v>10</v>
      </c>
      <c r="B256" t="s">
        <v>217</v>
      </c>
    </row>
    <row r="257" spans="1:2" ht="12.75">
      <c r="A257" s="66" t="s">
        <v>11</v>
      </c>
      <c r="B257" t="s">
        <v>218</v>
      </c>
    </row>
    <row r="258" spans="1:2" ht="12.75">
      <c r="A258" s="66" t="s">
        <v>140</v>
      </c>
      <c r="B258" t="s">
        <v>219</v>
      </c>
    </row>
    <row r="259" spans="1:2" ht="12.75">
      <c r="A259" s="66" t="s">
        <v>197</v>
      </c>
      <c r="B259" t="s">
        <v>220</v>
      </c>
    </row>
    <row r="260" spans="1:2" ht="12.75">
      <c r="A260" s="66" t="s">
        <v>199</v>
      </c>
      <c r="B260" t="s">
        <v>221</v>
      </c>
    </row>
    <row r="261" spans="1:2" ht="12.75">
      <c r="A261" s="66" t="s">
        <v>205</v>
      </c>
      <c r="B261" t="s">
        <v>206</v>
      </c>
    </row>
    <row r="262" spans="1:2" ht="12.75">
      <c r="A262" s="66" t="s">
        <v>207</v>
      </c>
      <c r="B262" t="s">
        <v>208</v>
      </c>
    </row>
    <row r="263" spans="1:2" ht="12.75">
      <c r="A263" s="66" t="s">
        <v>223</v>
      </c>
      <c r="B263" t="s">
        <v>224</v>
      </c>
    </row>
    <row r="264" spans="1:2" ht="12.75">
      <c r="A264" s="66" t="s">
        <v>202</v>
      </c>
      <c r="B264" t="s">
        <v>290</v>
      </c>
    </row>
    <row r="265" spans="1:2" ht="12.75">
      <c r="A265" s="66" t="s">
        <v>4</v>
      </c>
      <c r="B265" t="s">
        <v>215</v>
      </c>
    </row>
    <row r="267" spans="1:2" ht="12.75">
      <c r="A267" t="s">
        <v>160</v>
      </c>
      <c r="B267">
        <f>HullWhiteSwapOpt(5,10,0.07,100,2,0.02,0.05,TRUE,$J$188:$K$208,0)</f>
        <v>3.933322561918524</v>
      </c>
    </row>
    <row r="270" spans="1:9" ht="12.75">
      <c r="A270" s="18" t="s">
        <v>268</v>
      </c>
      <c r="B270" s="18"/>
      <c r="C270" s="18"/>
      <c r="D270" s="18"/>
      <c r="E270" s="18"/>
      <c r="F270" s="18"/>
      <c r="G270" s="18"/>
      <c r="H270" s="18"/>
      <c r="I270" s="18"/>
    </row>
    <row r="271" spans="1:9" ht="12.75">
      <c r="A271" s="18" t="s">
        <v>227</v>
      </c>
      <c r="B271" s="18"/>
      <c r="C271" s="18"/>
      <c r="D271" s="18"/>
      <c r="E271" s="18"/>
      <c r="F271" s="18"/>
      <c r="G271" s="18"/>
      <c r="H271" s="18"/>
      <c r="I271" s="18"/>
    </row>
    <row r="272" spans="1:9" ht="12.75">
      <c r="A272" s="18" t="s">
        <v>145</v>
      </c>
      <c r="B272" s="18"/>
      <c r="C272" s="18"/>
      <c r="D272" s="18"/>
      <c r="E272" s="18"/>
      <c r="F272" s="18"/>
      <c r="G272" s="18"/>
      <c r="H272" s="18"/>
      <c r="I272" s="18"/>
    </row>
    <row r="273" spans="1:2" ht="12.75">
      <c r="A273" s="66" t="s">
        <v>10</v>
      </c>
      <c r="B273" t="s">
        <v>217</v>
      </c>
    </row>
    <row r="274" spans="1:2" ht="12.75">
      <c r="A274" s="66" t="s">
        <v>11</v>
      </c>
      <c r="B274" t="s">
        <v>218</v>
      </c>
    </row>
    <row r="275" spans="1:2" ht="12.75">
      <c r="A275" s="66" t="s">
        <v>140</v>
      </c>
      <c r="B275" t="s">
        <v>219</v>
      </c>
    </row>
    <row r="276" spans="1:2" ht="12.75">
      <c r="A276" s="66" t="s">
        <v>197</v>
      </c>
      <c r="B276" t="s">
        <v>220</v>
      </c>
    </row>
    <row r="277" spans="1:2" ht="12.75">
      <c r="A277" s="66" t="s">
        <v>199</v>
      </c>
      <c r="B277" t="s">
        <v>221</v>
      </c>
    </row>
    <row r="278" spans="1:2" ht="12.75">
      <c r="A278" s="66" t="s">
        <v>205</v>
      </c>
      <c r="B278" t="s">
        <v>212</v>
      </c>
    </row>
    <row r="279" spans="1:2" ht="12.75">
      <c r="A279" s="66" t="s">
        <v>207</v>
      </c>
      <c r="B279" t="s">
        <v>208</v>
      </c>
    </row>
    <row r="280" spans="1:2" ht="12.75">
      <c r="A280" s="66" t="s">
        <v>223</v>
      </c>
      <c r="B280" t="s">
        <v>224</v>
      </c>
    </row>
    <row r="281" spans="1:2" ht="12.75">
      <c r="A281" s="66" t="s">
        <v>16</v>
      </c>
      <c r="B281" t="s">
        <v>213</v>
      </c>
    </row>
    <row r="282" spans="1:2" ht="12.75">
      <c r="A282" s="66" t="s">
        <v>112</v>
      </c>
      <c r="B282" t="s">
        <v>214</v>
      </c>
    </row>
    <row r="283" spans="1:2" ht="12.75">
      <c r="A283" s="66" t="s">
        <v>202</v>
      </c>
      <c r="B283" t="s">
        <v>290</v>
      </c>
    </row>
    <row r="284" spans="1:2" ht="12.75">
      <c r="A284" s="66" t="s">
        <v>4</v>
      </c>
      <c r="B284" t="s">
        <v>215</v>
      </c>
    </row>
    <row r="286" spans="1:2" ht="12.75">
      <c r="A286" t="s">
        <v>160</v>
      </c>
      <c r="B286">
        <f>TreeSwapOpt(5,10,0.07,100,2,0.02,0.05,TRUE,0,50,$J$188:$K$208,0)</f>
        <v>3.9380598879308844</v>
      </c>
    </row>
    <row r="289" spans="1:9" ht="12.75">
      <c r="A289" s="18" t="s">
        <v>283</v>
      </c>
      <c r="B289" s="18"/>
      <c r="C289" s="18"/>
      <c r="D289" s="18"/>
      <c r="E289" s="18"/>
      <c r="F289" s="18"/>
      <c r="G289" s="18"/>
      <c r="H289" s="18"/>
      <c r="I289" s="18"/>
    </row>
    <row r="290" spans="1:9" ht="12.75">
      <c r="A290" s="18" t="s">
        <v>228</v>
      </c>
      <c r="B290" s="18"/>
      <c r="C290" s="18"/>
      <c r="D290" s="18"/>
      <c r="E290" s="18"/>
      <c r="F290" s="18"/>
      <c r="G290" s="18"/>
      <c r="H290" s="18"/>
      <c r="I290" s="18"/>
    </row>
    <row r="291" spans="1:9" ht="12.75">
      <c r="A291" s="18" t="s">
        <v>145</v>
      </c>
      <c r="B291" s="18"/>
      <c r="C291" s="18"/>
      <c r="D291" s="18"/>
      <c r="E291" s="18"/>
      <c r="F291" s="18"/>
      <c r="G291" s="18"/>
      <c r="H291" s="18"/>
      <c r="I291" s="18"/>
    </row>
    <row r="292" spans="1:2" ht="12.75">
      <c r="A292" s="66" t="s">
        <v>19</v>
      </c>
      <c r="B292" t="s">
        <v>229</v>
      </c>
    </row>
    <row r="293" spans="1:2" ht="12.75">
      <c r="A293" s="66" t="s">
        <v>20</v>
      </c>
      <c r="B293" t="s">
        <v>230</v>
      </c>
    </row>
    <row r="294" spans="1:2" ht="12.75">
      <c r="A294" s="66" t="s">
        <v>240</v>
      </c>
      <c r="B294" t="s">
        <v>231</v>
      </c>
    </row>
    <row r="295" spans="1:2" ht="12.75">
      <c r="A295" s="66" t="s">
        <v>199</v>
      </c>
      <c r="B295" t="s">
        <v>232</v>
      </c>
    </row>
    <row r="296" spans="1:2" ht="12.75">
      <c r="A296" s="66" t="s">
        <v>102</v>
      </c>
      <c r="B296" t="s">
        <v>233</v>
      </c>
    </row>
    <row r="297" spans="1:2" ht="12.75">
      <c r="A297" s="66" t="s">
        <v>30</v>
      </c>
      <c r="B297" t="s">
        <v>234</v>
      </c>
    </row>
    <row r="298" spans="1:2" ht="12.75">
      <c r="A298" s="66" t="s">
        <v>3</v>
      </c>
      <c r="B298" t="s">
        <v>222</v>
      </c>
    </row>
    <row r="299" spans="1:2" ht="12.75">
      <c r="A299" s="66" t="s">
        <v>22</v>
      </c>
      <c r="B299" t="s">
        <v>152</v>
      </c>
    </row>
    <row r="300" spans="1:2" ht="12.75">
      <c r="A300" s="66" t="s">
        <v>235</v>
      </c>
      <c r="B300" t="s">
        <v>236</v>
      </c>
    </row>
    <row r="301" spans="1:2" ht="12.75">
      <c r="A301" s="66" t="s">
        <v>202</v>
      </c>
      <c r="B301" t="s">
        <v>290</v>
      </c>
    </row>
    <row r="302" spans="1:2" ht="12.75">
      <c r="A302" s="66" t="s">
        <v>4</v>
      </c>
      <c r="B302" t="s">
        <v>215</v>
      </c>
    </row>
    <row r="304" spans="1:2" ht="12.75">
      <c r="A304" t="s">
        <v>160</v>
      </c>
      <c r="B304">
        <f>BlackBondOpt(5,0.07,100,2,100,2,0.2,TRUE,TRUE,$J$188:$K$208,0)</f>
        <v>3.4645482956454843</v>
      </c>
    </row>
    <row r="307" spans="1:9" ht="12.75">
      <c r="A307" s="18" t="s">
        <v>284</v>
      </c>
      <c r="B307" s="18"/>
      <c r="C307" s="18"/>
      <c r="D307" s="18"/>
      <c r="E307" s="18"/>
      <c r="F307" s="18"/>
      <c r="G307" s="18"/>
      <c r="H307" s="18"/>
      <c r="I307" s="18"/>
    </row>
    <row r="308" spans="1:9" ht="12.75">
      <c r="A308" s="18" t="s">
        <v>237</v>
      </c>
      <c r="B308" s="18"/>
      <c r="C308" s="18"/>
      <c r="D308" s="18"/>
      <c r="E308" s="18"/>
      <c r="F308" s="18"/>
      <c r="G308" s="18"/>
      <c r="H308" s="18"/>
      <c r="I308" s="18"/>
    </row>
    <row r="309" spans="1:9" ht="12.75">
      <c r="A309" s="18" t="s">
        <v>145</v>
      </c>
      <c r="B309" s="18"/>
      <c r="C309" s="18"/>
      <c r="D309" s="18"/>
      <c r="E309" s="18"/>
      <c r="F309" s="18"/>
      <c r="G309" s="18"/>
      <c r="H309" s="18"/>
      <c r="I309" s="18"/>
    </row>
    <row r="310" spans="1:2" ht="12.75">
      <c r="A310" s="66" t="s">
        <v>19</v>
      </c>
      <c r="B310" t="s">
        <v>229</v>
      </c>
    </row>
    <row r="311" spans="1:2" ht="12.75">
      <c r="A311" s="66" t="s">
        <v>20</v>
      </c>
      <c r="B311" t="s">
        <v>230</v>
      </c>
    </row>
    <row r="312" spans="1:2" ht="12.75">
      <c r="A312" s="66" t="s">
        <v>240</v>
      </c>
      <c r="B312" t="s">
        <v>231</v>
      </c>
    </row>
    <row r="313" spans="1:2" ht="12.75">
      <c r="A313" s="66" t="s">
        <v>199</v>
      </c>
      <c r="B313" t="s">
        <v>232</v>
      </c>
    </row>
    <row r="314" spans="1:2" ht="12.75">
      <c r="A314" s="66" t="s">
        <v>102</v>
      </c>
      <c r="B314" t="s">
        <v>233</v>
      </c>
    </row>
    <row r="315" spans="1:2" ht="12.75">
      <c r="A315" s="66" t="s">
        <v>30</v>
      </c>
      <c r="B315" t="s">
        <v>234</v>
      </c>
    </row>
    <row r="316" spans="1:2" ht="12.75">
      <c r="A316" s="66" t="s">
        <v>205</v>
      </c>
      <c r="B316" t="s">
        <v>206</v>
      </c>
    </row>
    <row r="317" spans="1:2" ht="12.75">
      <c r="A317" s="66" t="s">
        <v>207</v>
      </c>
      <c r="B317" t="s">
        <v>208</v>
      </c>
    </row>
    <row r="318" spans="1:2" ht="12.75">
      <c r="A318" s="66" t="s">
        <v>22</v>
      </c>
      <c r="B318" t="s">
        <v>152</v>
      </c>
    </row>
    <row r="319" spans="1:2" ht="12.75">
      <c r="A319" s="66" t="s">
        <v>235</v>
      </c>
      <c r="B319" t="s">
        <v>236</v>
      </c>
    </row>
    <row r="320" spans="1:2" ht="12.75">
      <c r="A320" s="66" t="s">
        <v>202</v>
      </c>
      <c r="B320" t="s">
        <v>290</v>
      </c>
    </row>
    <row r="321" spans="1:2" ht="12.75">
      <c r="A321" s="66" t="s">
        <v>4</v>
      </c>
      <c r="B321" t="s">
        <v>215</v>
      </c>
    </row>
    <row r="323" spans="1:2" ht="12.75">
      <c r="A323" t="s">
        <v>160</v>
      </c>
      <c r="B323">
        <f>HullWhiteBondOpt(5,0.07,100,2,100,2,0.01,0.03,TRUE,TRUE,$J$188:$K$208,0)</f>
        <v>3.2389388093958082</v>
      </c>
    </row>
    <row r="326" spans="1:9" ht="12.75">
      <c r="A326" s="16" t="s">
        <v>302</v>
      </c>
      <c r="B326" s="18"/>
      <c r="C326" s="18"/>
      <c r="D326" s="18"/>
      <c r="E326" s="18"/>
      <c r="F326" s="18"/>
      <c r="G326" s="18"/>
      <c r="H326" s="18"/>
      <c r="I326" s="18"/>
    </row>
    <row r="327" spans="1:9" ht="12.75">
      <c r="A327" s="18" t="s">
        <v>238</v>
      </c>
      <c r="B327" s="18"/>
      <c r="C327" s="18"/>
      <c r="D327" s="18"/>
      <c r="E327" s="18"/>
      <c r="F327" s="18"/>
      <c r="G327" s="18"/>
      <c r="H327" s="18"/>
      <c r="I327" s="18"/>
    </row>
    <row r="328" spans="1:9" ht="12.75">
      <c r="A328" s="18" t="s">
        <v>145</v>
      </c>
      <c r="B328" s="18"/>
      <c r="C328" s="18"/>
      <c r="D328" s="18"/>
      <c r="E328" s="18"/>
      <c r="F328" s="18"/>
      <c r="G328" s="18"/>
      <c r="H328" s="18"/>
      <c r="I328" s="18"/>
    </row>
    <row r="329" spans="1:2" ht="12.75">
      <c r="A329" s="66" t="s">
        <v>19</v>
      </c>
      <c r="B329" t="s">
        <v>229</v>
      </c>
    </row>
    <row r="330" spans="1:5" ht="12.75">
      <c r="A330" s="128" t="s">
        <v>20</v>
      </c>
      <c r="B330" t="s">
        <v>230</v>
      </c>
      <c r="E330" t="s">
        <v>239</v>
      </c>
    </row>
    <row r="331" spans="1:2" ht="12.75">
      <c r="A331" s="66" t="s">
        <v>240</v>
      </c>
      <c r="B331" t="s">
        <v>231</v>
      </c>
    </row>
    <row r="332" spans="1:2" ht="12.75">
      <c r="A332" s="66" t="s">
        <v>199</v>
      </c>
      <c r="B332" t="s">
        <v>244</v>
      </c>
    </row>
    <row r="333" spans="1:2" ht="12.75">
      <c r="A333" s="66" t="s">
        <v>102</v>
      </c>
      <c r="B333" t="s">
        <v>233</v>
      </c>
    </row>
    <row r="334" spans="1:2" ht="12.75">
      <c r="A334" s="66" t="s">
        <v>30</v>
      </c>
      <c r="B334" t="s">
        <v>234</v>
      </c>
    </row>
    <row r="335" spans="1:2" ht="12.75">
      <c r="A335" s="66" t="s">
        <v>205</v>
      </c>
      <c r="B335" t="s">
        <v>212</v>
      </c>
    </row>
    <row r="336" spans="1:2" ht="12.75">
      <c r="A336" s="66" t="s">
        <v>207</v>
      </c>
      <c r="B336" t="s">
        <v>208</v>
      </c>
    </row>
    <row r="337" spans="1:2" ht="12.75">
      <c r="A337" s="66" t="s">
        <v>22</v>
      </c>
      <c r="B337" t="s">
        <v>152</v>
      </c>
    </row>
    <row r="338" spans="1:2" ht="12.75">
      <c r="A338" s="66" t="s">
        <v>235</v>
      </c>
      <c r="B338" t="s">
        <v>236</v>
      </c>
    </row>
    <row r="339" spans="1:2" ht="12.75">
      <c r="A339" s="66" t="s">
        <v>24</v>
      </c>
      <c r="B339" t="s">
        <v>241</v>
      </c>
    </row>
    <row r="340" spans="1:2" ht="12.75">
      <c r="A340" s="66" t="s">
        <v>16</v>
      </c>
      <c r="B340" t="s">
        <v>213</v>
      </c>
    </row>
    <row r="341" spans="1:2" ht="12.75">
      <c r="A341" s="66" t="s">
        <v>7</v>
      </c>
      <c r="B341" t="s">
        <v>214</v>
      </c>
    </row>
    <row r="342" spans="1:2" ht="12.75">
      <c r="A342" s="66" t="s">
        <v>202</v>
      </c>
      <c r="B342" t="s">
        <v>290</v>
      </c>
    </row>
    <row r="343" spans="1:2" ht="12.75">
      <c r="A343" s="66" t="s">
        <v>4</v>
      </c>
      <c r="B343" t="s">
        <v>215</v>
      </c>
    </row>
    <row r="345" spans="1:2" ht="12.75">
      <c r="A345" t="s">
        <v>160</v>
      </c>
      <c r="B345">
        <f>TreeBondOpt(5,0.07,100,2,100,2,0.01,0.03,TRUE,TRUE,FALSE,0,50,$J$188:$K$208,0)</f>
        <v>3.2400644957469806</v>
      </c>
    </row>
    <row r="348" ht="12.75">
      <c r="A348" s="16" t="s">
        <v>303</v>
      </c>
    </row>
    <row r="349" ht="12.75">
      <c r="A349" s="18" t="s">
        <v>242</v>
      </c>
    </row>
    <row r="350" ht="12.75">
      <c r="A350" s="18" t="s">
        <v>145</v>
      </c>
    </row>
    <row r="351" spans="1:2" ht="12.75">
      <c r="A351" s="66" t="s">
        <v>19</v>
      </c>
      <c r="B351" t="s">
        <v>229</v>
      </c>
    </row>
    <row r="352" spans="1:2" ht="12.75">
      <c r="A352" s="66" t="s">
        <v>20</v>
      </c>
      <c r="B352" t="s">
        <v>230</v>
      </c>
    </row>
    <row r="353" spans="1:2" ht="12.75">
      <c r="A353" s="66" t="s">
        <v>240</v>
      </c>
      <c r="B353" t="s">
        <v>243</v>
      </c>
    </row>
    <row r="354" spans="1:2" ht="12.75">
      <c r="A354" s="66" t="s">
        <v>199</v>
      </c>
      <c r="B354" t="s">
        <v>253</v>
      </c>
    </row>
    <row r="355" spans="1:2" ht="12.75">
      <c r="A355" s="66" t="s">
        <v>202</v>
      </c>
      <c r="B355" t="s">
        <v>290</v>
      </c>
    </row>
    <row r="356" spans="1:2" ht="12.75">
      <c r="A356" s="66" t="s">
        <v>121</v>
      </c>
      <c r="B356" t="s">
        <v>245</v>
      </c>
    </row>
    <row r="357" spans="1:2" ht="12.75">
      <c r="A357" s="66" t="s">
        <v>4</v>
      </c>
      <c r="B357" t="s">
        <v>246</v>
      </c>
    </row>
    <row r="358" ht="12.75">
      <c r="A358" s="66"/>
    </row>
    <row r="359" spans="1:2" ht="12.75">
      <c r="A359" s="66" t="s">
        <v>160</v>
      </c>
      <c r="B359">
        <f>BondPrice(5,0.05,100,2,$J$188:$K$208,TRUE,0)</f>
        <v>99.37725949248637</v>
      </c>
    </row>
    <row r="360" ht="12.75">
      <c r="A360" s="66"/>
    </row>
    <row r="361" ht="12.75">
      <c r="A361" s="66"/>
    </row>
    <row r="362" ht="12.75">
      <c r="A362" s="18" t="s">
        <v>269</v>
      </c>
    </row>
    <row r="363" ht="12.75">
      <c r="A363" s="18" t="s">
        <v>247</v>
      </c>
    </row>
    <row r="364" ht="12.75">
      <c r="A364" s="18" t="s">
        <v>145</v>
      </c>
    </row>
    <row r="365" spans="1:2" ht="12.75">
      <c r="A365" s="66" t="s">
        <v>10</v>
      </c>
      <c r="B365" t="s">
        <v>248</v>
      </c>
    </row>
    <row r="366" spans="1:2" ht="12.75">
      <c r="A366" s="66" t="s">
        <v>11</v>
      </c>
      <c r="B366" t="s">
        <v>249</v>
      </c>
    </row>
    <row r="367" spans="1:2" ht="12.75">
      <c r="A367" s="66" t="s">
        <v>281</v>
      </c>
      <c r="B367" t="s">
        <v>250</v>
      </c>
    </row>
    <row r="368" spans="1:2" ht="12.75">
      <c r="A368" s="66" t="s">
        <v>197</v>
      </c>
      <c r="B368" t="s">
        <v>251</v>
      </c>
    </row>
    <row r="369" spans="1:2" ht="12.75">
      <c r="A369" s="66" t="s">
        <v>199</v>
      </c>
      <c r="B369" t="s">
        <v>252</v>
      </c>
    </row>
    <row r="370" spans="1:2" ht="12.75">
      <c r="A370" s="66" t="s">
        <v>202</v>
      </c>
      <c r="B370" t="s">
        <v>290</v>
      </c>
    </row>
    <row r="371" spans="1:2" ht="12.75">
      <c r="A371" s="66" t="s">
        <v>4</v>
      </c>
      <c r="B371" t="s">
        <v>246</v>
      </c>
    </row>
    <row r="372" ht="12.75">
      <c r="A372" s="66"/>
    </row>
    <row r="373" spans="1:2" ht="12.75">
      <c r="A373" s="66" t="s">
        <v>160</v>
      </c>
      <c r="B373">
        <f>SwapPrice(1,5,0.05,100,12,$J$188:$K$208,0)</f>
        <v>-1.6929427803685222</v>
      </c>
    </row>
    <row r="374" ht="12.75">
      <c r="A374" s="66"/>
    </row>
    <row r="375" ht="12.75">
      <c r="A375" s="66"/>
    </row>
    <row r="376" ht="12.75">
      <c r="A376" s="18" t="s">
        <v>272</v>
      </c>
    </row>
    <row r="377" ht="12.75">
      <c r="A377" t="s">
        <v>254</v>
      </c>
    </row>
    <row r="378" ht="12.75">
      <c r="A378" t="s">
        <v>145</v>
      </c>
    </row>
    <row r="379" spans="1:2" ht="12.75">
      <c r="A379" t="s">
        <v>39</v>
      </c>
      <c r="B379" t="s">
        <v>262</v>
      </c>
    </row>
    <row r="380" spans="1:2" ht="12.75">
      <c r="A380" t="s">
        <v>202</v>
      </c>
      <c r="B380" t="s">
        <v>290</v>
      </c>
    </row>
    <row r="381" spans="1:2" ht="12.75">
      <c r="A381" t="s">
        <v>273</v>
      </c>
      <c r="B381" t="s">
        <v>274</v>
      </c>
    </row>
    <row r="382" spans="1:2" ht="12.75">
      <c r="A382" t="s">
        <v>275</v>
      </c>
      <c r="B382" t="s">
        <v>276</v>
      </c>
    </row>
    <row r="383" spans="1:2" ht="12.75">
      <c r="A383" t="s">
        <v>277</v>
      </c>
      <c r="B383" t="s">
        <v>278</v>
      </c>
    </row>
    <row r="384" spans="1:2" ht="12.75">
      <c r="A384" t="s">
        <v>280</v>
      </c>
      <c r="B384" t="s">
        <v>279</v>
      </c>
    </row>
    <row r="385" spans="1:2" ht="12.75">
      <c r="A385" t="s">
        <v>86</v>
      </c>
      <c r="B385" t="s">
        <v>257</v>
      </c>
    </row>
    <row r="386" spans="1:2" ht="12.75">
      <c r="A386" t="s">
        <v>4</v>
      </c>
      <c r="B386" t="s">
        <v>271</v>
      </c>
    </row>
    <row r="388" ht="12.75">
      <c r="A388" s="66" t="s">
        <v>285</v>
      </c>
    </row>
    <row r="389" ht="13.5" thickBot="1">
      <c r="B389" s="2" t="s">
        <v>100</v>
      </c>
    </row>
    <row r="390" spans="1:13" ht="12.75">
      <c r="A390" t="s">
        <v>122</v>
      </c>
      <c r="B390" s="12">
        <v>0</v>
      </c>
      <c r="C390" s="41" t="s">
        <v>27</v>
      </c>
      <c r="D390" s="41" t="s">
        <v>20</v>
      </c>
      <c r="E390" s="41" t="s">
        <v>139</v>
      </c>
      <c r="F390" s="41" t="s">
        <v>199</v>
      </c>
      <c r="G390" s="41" t="s">
        <v>121</v>
      </c>
      <c r="H390" s="41"/>
      <c r="I390" s="41"/>
      <c r="J390" s="41"/>
      <c r="K390" s="41"/>
      <c r="L390" s="41"/>
      <c r="M390" s="116"/>
    </row>
    <row r="391" spans="1:13" ht="12.75">
      <c r="A391" t="s">
        <v>120</v>
      </c>
      <c r="B391" s="20">
        <v>1</v>
      </c>
      <c r="C391" s="23" t="s">
        <v>10</v>
      </c>
      <c r="D391" s="23" t="s">
        <v>11</v>
      </c>
      <c r="E391" s="23" t="s">
        <v>281</v>
      </c>
      <c r="F391" s="23" t="s">
        <v>197</v>
      </c>
      <c r="G391" s="23" t="s">
        <v>199</v>
      </c>
      <c r="H391" s="23"/>
      <c r="I391" s="23"/>
      <c r="J391" s="23"/>
      <c r="K391" s="23"/>
      <c r="L391" s="23"/>
      <c r="M391" s="11"/>
    </row>
    <row r="392" spans="1:13" ht="12.75">
      <c r="A392" s="4" t="s">
        <v>124</v>
      </c>
      <c r="B392" s="20">
        <v>2</v>
      </c>
      <c r="C392" s="23" t="s">
        <v>10</v>
      </c>
      <c r="D392" s="23" t="s">
        <v>11</v>
      </c>
      <c r="E392" s="104" t="s">
        <v>141</v>
      </c>
      <c r="F392" s="23" t="s">
        <v>197</v>
      </c>
      <c r="G392" s="23" t="s">
        <v>199</v>
      </c>
      <c r="H392" s="23" t="s">
        <v>28</v>
      </c>
      <c r="I392" s="23" t="s">
        <v>3</v>
      </c>
      <c r="J392" s="23"/>
      <c r="K392" s="23"/>
      <c r="L392" s="23"/>
      <c r="M392" s="11"/>
    </row>
    <row r="393" spans="1:13" ht="12.75">
      <c r="A393" s="4" t="s">
        <v>125</v>
      </c>
      <c r="B393" s="20">
        <v>3</v>
      </c>
      <c r="C393" s="23" t="s">
        <v>10</v>
      </c>
      <c r="D393" s="23" t="s">
        <v>11</v>
      </c>
      <c r="E393" s="104" t="s">
        <v>141</v>
      </c>
      <c r="F393" s="23" t="s">
        <v>197</v>
      </c>
      <c r="G393" s="23" t="s">
        <v>199</v>
      </c>
      <c r="H393" s="23" t="s">
        <v>28</v>
      </c>
      <c r="I393" s="23"/>
      <c r="J393" s="23"/>
      <c r="K393" s="23"/>
      <c r="L393" s="23"/>
      <c r="M393" s="11"/>
    </row>
    <row r="394" spans="1:13" ht="12.75">
      <c r="A394" s="4" t="s">
        <v>126</v>
      </c>
      <c r="B394" s="20">
        <v>4</v>
      </c>
      <c r="C394" s="23" t="s">
        <v>10</v>
      </c>
      <c r="D394" s="23" t="s">
        <v>11</v>
      </c>
      <c r="E394" s="104" t="s">
        <v>141</v>
      </c>
      <c r="F394" s="23" t="s">
        <v>197</v>
      </c>
      <c r="G394" s="23" t="s">
        <v>199</v>
      </c>
      <c r="H394" s="23" t="s">
        <v>28</v>
      </c>
      <c r="I394" s="23" t="s">
        <v>16</v>
      </c>
      <c r="J394" s="23" t="s">
        <v>7</v>
      </c>
      <c r="K394" s="23"/>
      <c r="L394" s="23"/>
      <c r="M394" s="11"/>
    </row>
    <row r="395" spans="1:13" ht="12.75">
      <c r="A395" s="4" t="s">
        <v>128</v>
      </c>
      <c r="B395" s="20">
        <v>5</v>
      </c>
      <c r="C395" s="23" t="s">
        <v>10</v>
      </c>
      <c r="D395" s="23" t="s">
        <v>11</v>
      </c>
      <c r="E395" s="104" t="s">
        <v>140</v>
      </c>
      <c r="F395" s="23" t="s">
        <v>197</v>
      </c>
      <c r="G395" s="23" t="s">
        <v>199</v>
      </c>
      <c r="H395" s="23" t="s">
        <v>223</v>
      </c>
      <c r="I395" s="23" t="s">
        <v>3</v>
      </c>
      <c r="J395" s="23"/>
      <c r="K395" s="23"/>
      <c r="L395" s="23"/>
      <c r="M395" s="11"/>
    </row>
    <row r="396" spans="1:13" ht="12.75">
      <c r="A396" t="s">
        <v>123</v>
      </c>
      <c r="B396" s="20">
        <v>6</v>
      </c>
      <c r="C396" s="23" t="s">
        <v>10</v>
      </c>
      <c r="D396" s="23" t="s">
        <v>11</v>
      </c>
      <c r="E396" s="104" t="s">
        <v>140</v>
      </c>
      <c r="F396" s="23" t="s">
        <v>197</v>
      </c>
      <c r="G396" s="23" t="s">
        <v>199</v>
      </c>
      <c r="H396" s="23" t="s">
        <v>223</v>
      </c>
      <c r="I396" s="23"/>
      <c r="J396" s="23"/>
      <c r="K396" s="23"/>
      <c r="L396" s="23"/>
      <c r="M396" s="11"/>
    </row>
    <row r="397" spans="1:13" ht="12.75">
      <c r="A397" t="s">
        <v>127</v>
      </c>
      <c r="B397" s="20">
        <v>7</v>
      </c>
      <c r="C397" s="23" t="s">
        <v>10</v>
      </c>
      <c r="D397" s="23" t="s">
        <v>11</v>
      </c>
      <c r="E397" s="104" t="s">
        <v>140</v>
      </c>
      <c r="F397" s="23" t="s">
        <v>197</v>
      </c>
      <c r="G397" s="23" t="s">
        <v>199</v>
      </c>
      <c r="H397" s="23" t="s">
        <v>223</v>
      </c>
      <c r="I397" s="23" t="s">
        <v>16</v>
      </c>
      <c r="J397" s="23" t="s">
        <v>7</v>
      </c>
      <c r="K397" s="23"/>
      <c r="L397" s="23"/>
      <c r="M397" s="11"/>
    </row>
    <row r="398" spans="1:13" ht="12.75">
      <c r="A398" s="4" t="s">
        <v>129</v>
      </c>
      <c r="B398" s="105">
        <v>8</v>
      </c>
      <c r="C398" s="23" t="s">
        <v>27</v>
      </c>
      <c r="D398" s="23" t="s">
        <v>20</v>
      </c>
      <c r="E398" s="23" t="s">
        <v>240</v>
      </c>
      <c r="F398" s="23" t="s">
        <v>199</v>
      </c>
      <c r="G398" s="23" t="s">
        <v>102</v>
      </c>
      <c r="H398" s="23" t="s">
        <v>30</v>
      </c>
      <c r="I398" s="23" t="s">
        <v>22</v>
      </c>
      <c r="J398" s="23" t="s">
        <v>235</v>
      </c>
      <c r="K398" s="23" t="s">
        <v>3</v>
      </c>
      <c r="L398" s="23"/>
      <c r="M398" s="11"/>
    </row>
    <row r="399" spans="1:13" ht="12.75">
      <c r="A399" s="4" t="s">
        <v>130</v>
      </c>
      <c r="B399" s="105">
        <v>9</v>
      </c>
      <c r="C399" s="23" t="s">
        <v>27</v>
      </c>
      <c r="D399" s="23" t="s">
        <v>20</v>
      </c>
      <c r="E399" s="23" t="s">
        <v>240</v>
      </c>
      <c r="F399" s="23" t="s">
        <v>199</v>
      </c>
      <c r="G399" s="23" t="s">
        <v>102</v>
      </c>
      <c r="H399" s="23" t="s">
        <v>30</v>
      </c>
      <c r="I399" s="23" t="s">
        <v>22</v>
      </c>
      <c r="J399" s="23" t="s">
        <v>235</v>
      </c>
      <c r="K399" s="23"/>
      <c r="L399" s="23"/>
      <c r="M399" s="11"/>
    </row>
    <row r="400" spans="1:13" ht="13.5" thickBot="1">
      <c r="A400" s="4" t="s">
        <v>131</v>
      </c>
      <c r="B400" s="102">
        <v>10</v>
      </c>
      <c r="C400" s="25" t="s">
        <v>27</v>
      </c>
      <c r="D400" s="25" t="s">
        <v>20</v>
      </c>
      <c r="E400" s="25" t="s">
        <v>240</v>
      </c>
      <c r="F400" s="25" t="s">
        <v>199</v>
      </c>
      <c r="G400" s="25" t="s">
        <v>102</v>
      </c>
      <c r="H400" s="25" t="s">
        <v>30</v>
      </c>
      <c r="I400" s="25" t="s">
        <v>22</v>
      </c>
      <c r="J400" s="25" t="s">
        <v>235</v>
      </c>
      <c r="K400" s="25" t="s">
        <v>16</v>
      </c>
      <c r="L400" s="25" t="s">
        <v>7</v>
      </c>
      <c r="M400" s="110" t="s">
        <v>24</v>
      </c>
    </row>
    <row r="401" spans="12:13" ht="12.75">
      <c r="L401" s="29"/>
      <c r="M401" s="29"/>
    </row>
    <row r="402" ht="12.75">
      <c r="A402" s="106" t="s">
        <v>286</v>
      </c>
    </row>
    <row r="403" ht="13.5" thickBot="1">
      <c r="B403" s="2" t="s">
        <v>100</v>
      </c>
    </row>
    <row r="404" spans="1:13" ht="12.75">
      <c r="A404" t="s">
        <v>122</v>
      </c>
      <c r="B404" s="12">
        <v>0</v>
      </c>
      <c r="C404" s="41">
        <v>10.2</v>
      </c>
      <c r="D404" s="117">
        <v>0.06</v>
      </c>
      <c r="E404" s="41">
        <v>100</v>
      </c>
      <c r="F404" s="41">
        <v>2</v>
      </c>
      <c r="G404" s="41" t="b">
        <v>1</v>
      </c>
      <c r="H404" s="41"/>
      <c r="I404" s="41"/>
      <c r="J404" s="41"/>
      <c r="K404" s="41"/>
      <c r="L404" s="41"/>
      <c r="M404" s="116"/>
    </row>
    <row r="405" spans="1:13" ht="12.75">
      <c r="A405" s="4" t="s">
        <v>129</v>
      </c>
      <c r="B405" s="105">
        <v>8</v>
      </c>
      <c r="C405" s="23">
        <v>10.2</v>
      </c>
      <c r="D405" s="42">
        <v>0.06</v>
      </c>
      <c r="E405" s="23">
        <v>100</v>
      </c>
      <c r="F405" s="23">
        <v>2</v>
      </c>
      <c r="G405" s="23">
        <v>102</v>
      </c>
      <c r="H405" s="23">
        <v>0.5</v>
      </c>
      <c r="I405" s="23" t="b">
        <v>1</v>
      </c>
      <c r="J405" s="23" t="b">
        <v>1</v>
      </c>
      <c r="K405" s="42">
        <v>0.15</v>
      </c>
      <c r="L405" s="23"/>
      <c r="M405" s="11"/>
    </row>
    <row r="406" spans="1:13" ht="12.75">
      <c r="A406" s="4" t="s">
        <v>129</v>
      </c>
      <c r="B406" s="105">
        <v>8</v>
      </c>
      <c r="C406" s="23">
        <v>10.2</v>
      </c>
      <c r="D406" s="42">
        <v>0.06</v>
      </c>
      <c r="E406" s="23">
        <v>100</v>
      </c>
      <c r="F406" s="23">
        <v>2</v>
      </c>
      <c r="G406" s="23">
        <v>105</v>
      </c>
      <c r="H406" s="23">
        <v>1</v>
      </c>
      <c r="I406" s="23" t="b">
        <v>1</v>
      </c>
      <c r="J406" s="23" t="b">
        <v>1</v>
      </c>
      <c r="K406" s="42">
        <v>0.14</v>
      </c>
      <c r="L406" s="23"/>
      <c r="M406" s="11"/>
    </row>
    <row r="407" spans="1:13" ht="13.5" thickBot="1">
      <c r="A407" s="4" t="s">
        <v>131</v>
      </c>
      <c r="B407" s="102">
        <v>10</v>
      </c>
      <c r="C407" s="25">
        <v>10.2</v>
      </c>
      <c r="D407" s="118">
        <v>0.06</v>
      </c>
      <c r="E407" s="25">
        <v>100</v>
      </c>
      <c r="F407" s="25">
        <v>2</v>
      </c>
      <c r="G407" s="25">
        <v>98</v>
      </c>
      <c r="H407" s="25">
        <v>5</v>
      </c>
      <c r="I407" s="25" t="b">
        <v>0</v>
      </c>
      <c r="J407" s="25" t="b">
        <v>1</v>
      </c>
      <c r="K407" s="25">
        <v>1</v>
      </c>
      <c r="L407" s="25">
        <v>25</v>
      </c>
      <c r="M407" s="110" t="b">
        <v>1</v>
      </c>
    </row>
    <row r="408" ht="10.5" customHeight="1"/>
    <row r="409" spans="1:5" ht="12.75">
      <c r="A409" s="122" t="s">
        <v>160</v>
      </c>
      <c r="B409">
        <f>IPortfolio(0,$J$188:$K$208,0.01,0.03,0.15,0.05,$B$404:$M$407,0)</f>
        <v>107.63142684998454</v>
      </c>
      <c r="E409" t="s">
        <v>239</v>
      </c>
    </row>
    <row r="410" ht="12.75">
      <c r="A410" s="66"/>
    </row>
  </sheetData>
  <sheetProtection/>
  <mergeCells count="1">
    <mergeCell ref="J187:K187"/>
  </mergeCells>
  <printOptions/>
  <pageMargins left="0.75" right="0.75" top="1" bottom="1" header="0.5" footer="0.5"/>
  <pageSetup fitToHeight="6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3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5.00390625" style="0" bestFit="1" customWidth="1"/>
  </cols>
  <sheetData>
    <row r="1" spans="5:15" ht="15.75">
      <c r="E1" s="125" t="s">
        <v>291</v>
      </c>
      <c r="F1" s="125"/>
      <c r="G1" s="125"/>
      <c r="H1" s="125"/>
      <c r="I1" s="125"/>
      <c r="J1" s="125"/>
      <c r="K1" s="125"/>
      <c r="L1" s="125"/>
      <c r="M1" s="125"/>
      <c r="N1" s="119"/>
      <c r="O1" s="119"/>
    </row>
    <row r="2" spans="4:10" ht="15.75">
      <c r="D2" s="125"/>
      <c r="J2" s="126" t="s">
        <v>324</v>
      </c>
    </row>
    <row r="3" spans="4:10" ht="15.75">
      <c r="D3" s="125"/>
      <c r="E3" s="125"/>
      <c r="J3" s="126" t="s">
        <v>325</v>
      </c>
    </row>
    <row r="5" ht="13.5" thickBot="1"/>
    <row r="6" spans="1:2" ht="12.75">
      <c r="A6" s="5" t="s">
        <v>5</v>
      </c>
      <c r="B6" s="6">
        <v>50</v>
      </c>
    </row>
    <row r="7" spans="1:2" ht="12.75">
      <c r="A7" s="7" t="s">
        <v>6</v>
      </c>
      <c r="B7" s="8">
        <v>50.1</v>
      </c>
    </row>
    <row r="8" spans="1:2" ht="12.75">
      <c r="A8" s="7" t="s">
        <v>1</v>
      </c>
      <c r="B8" s="9">
        <v>0.05</v>
      </c>
    </row>
    <row r="9" spans="1:2" ht="12.75">
      <c r="A9" s="7" t="s">
        <v>2</v>
      </c>
      <c r="B9" s="10">
        <v>0</v>
      </c>
    </row>
    <row r="10" spans="1:2" ht="12.75">
      <c r="A10" s="7" t="s">
        <v>3</v>
      </c>
      <c r="B10" s="10">
        <v>0.4</v>
      </c>
    </row>
    <row r="11" spans="1:2" ht="12.75">
      <c r="A11" s="7" t="s">
        <v>31</v>
      </c>
      <c r="B11" s="8">
        <v>1</v>
      </c>
    </row>
    <row r="12" spans="1:2" ht="12.75">
      <c r="A12" s="7" t="s">
        <v>22</v>
      </c>
      <c r="B12" s="8" t="b">
        <v>0</v>
      </c>
    </row>
    <row r="13" spans="1:2" ht="12.75">
      <c r="A13" s="7" t="s">
        <v>23</v>
      </c>
      <c r="B13" s="8" t="b">
        <v>0</v>
      </c>
    </row>
    <row r="14" spans="1:2" ht="12.75">
      <c r="A14" s="7" t="s">
        <v>4</v>
      </c>
      <c r="B14" s="8">
        <v>0</v>
      </c>
    </row>
    <row r="15" spans="1:2" ht="12.75">
      <c r="A15" s="1"/>
      <c r="B15" s="11"/>
    </row>
    <row r="16" spans="1:2" ht="13.5" thickBot="1">
      <c r="A16" s="15" t="s">
        <v>24</v>
      </c>
      <c r="B16" s="14" t="b">
        <v>0</v>
      </c>
    </row>
    <row r="23" spans="2:5" ht="12.75">
      <c r="B23" s="2" t="s">
        <v>7</v>
      </c>
      <c r="C23" s="2" t="s">
        <v>32</v>
      </c>
      <c r="D23" s="2" t="s">
        <v>33</v>
      </c>
      <c r="E23" s="2"/>
    </row>
    <row r="24" spans="2:4" ht="12.75">
      <c r="B24" s="2">
        <v>2</v>
      </c>
      <c r="C24" s="31">
        <f>TreeEquityOpt($B$6,$B$7,$B$8,$B$9,$B$10,$B$11,$B$12,$B$13,,$B$16,B24,$B$14)</f>
        <v>5.760675838438706</v>
      </c>
      <c r="D24" s="31">
        <f aca="true" t="shared" si="0" ref="D24:D72">Black_Scholes($B$6,$B$7,$B$8,$B$9,$B$10,$B$11,$B$12,FALSE,,$B$14)</f>
        <v>6.623444439643757</v>
      </c>
    </row>
    <row r="25" spans="2:4" ht="12.75">
      <c r="B25" s="2">
        <v>3</v>
      </c>
      <c r="C25" s="31">
        <f aca="true" t="shared" si="1" ref="C25:C72">TreeEquityOpt($B$6,$B$7,$B$8,$B$9,$B$10,$B$11,$B$12,$B$13,,$B$16,B25,$B$14)</f>
        <v>7.249043605262615</v>
      </c>
      <c r="D25" s="31">
        <f t="shared" si="0"/>
        <v>6.623444439643757</v>
      </c>
    </row>
    <row r="26" spans="2:4" ht="12.75">
      <c r="B26" s="2">
        <v>4</v>
      </c>
      <c r="C26" s="31">
        <f t="shared" si="1"/>
        <v>6.173574834660683</v>
      </c>
      <c r="D26" s="31">
        <f t="shared" si="0"/>
        <v>6.623444439643757</v>
      </c>
    </row>
    <row r="27" spans="2:4" ht="12.75">
      <c r="B27" s="2">
        <v>5</v>
      </c>
      <c r="C27" s="31">
        <f t="shared" si="1"/>
        <v>6.997131243800155</v>
      </c>
      <c r="D27" s="31">
        <f t="shared" si="0"/>
        <v>6.623444439643757</v>
      </c>
    </row>
    <row r="28" spans="2:4" ht="12.75">
      <c r="B28" s="2">
        <v>6</v>
      </c>
      <c r="C28" s="31">
        <f t="shared" si="1"/>
        <v>6.321622673065008</v>
      </c>
      <c r="D28" s="31">
        <f t="shared" si="0"/>
        <v>6.623444439643757</v>
      </c>
    </row>
    <row r="29" spans="2:4" ht="12.75">
      <c r="B29" s="2">
        <v>7</v>
      </c>
      <c r="C29" s="31">
        <f t="shared" si="1"/>
        <v>6.889425717749485</v>
      </c>
      <c r="D29" s="31">
        <f t="shared" si="0"/>
        <v>6.623444439643757</v>
      </c>
    </row>
    <row r="30" spans="2:4" ht="12.75">
      <c r="B30" s="2">
        <v>8</v>
      </c>
      <c r="C30" s="31">
        <f t="shared" si="1"/>
        <v>6.397226049975833</v>
      </c>
      <c r="D30" s="31">
        <f t="shared" si="0"/>
        <v>6.623444439643757</v>
      </c>
    </row>
    <row r="31" spans="2:4" ht="12.75">
      <c r="B31" s="2">
        <v>9</v>
      </c>
      <c r="C31" s="31">
        <f t="shared" si="1"/>
        <v>6.829812212062706</v>
      </c>
      <c r="D31" s="31">
        <f t="shared" si="0"/>
        <v>6.623444439643757</v>
      </c>
    </row>
    <row r="32" spans="2:4" ht="12.75">
      <c r="B32" s="2">
        <v>10</v>
      </c>
      <c r="C32" s="31">
        <f t="shared" si="1"/>
        <v>6.442981030734858</v>
      </c>
      <c r="D32" s="31">
        <f t="shared" si="0"/>
        <v>6.623444439643757</v>
      </c>
    </row>
    <row r="33" spans="2:4" ht="12.75">
      <c r="B33" s="2">
        <v>11</v>
      </c>
      <c r="C33" s="31">
        <f t="shared" si="1"/>
        <v>6.791991854993281</v>
      </c>
      <c r="D33" s="31">
        <f t="shared" si="0"/>
        <v>6.623444439643757</v>
      </c>
    </row>
    <row r="34" spans="2:4" ht="12.75">
      <c r="B34" s="2">
        <v>12</v>
      </c>
      <c r="C34" s="31">
        <f t="shared" si="1"/>
        <v>6.473604309808471</v>
      </c>
      <c r="D34" s="31">
        <f t="shared" si="0"/>
        <v>6.623444439643757</v>
      </c>
    </row>
    <row r="35" spans="2:4" ht="12.75">
      <c r="B35" s="2">
        <v>13</v>
      </c>
      <c r="C35" s="31">
        <f t="shared" si="1"/>
        <v>6.765870597955557</v>
      </c>
      <c r="D35" s="31">
        <f t="shared" si="0"/>
        <v>6.623444439643757</v>
      </c>
    </row>
    <row r="36" spans="2:4" ht="12.75">
      <c r="B36" s="2">
        <v>14</v>
      </c>
      <c r="C36" s="31">
        <f t="shared" si="1"/>
        <v>6.495515840227336</v>
      </c>
      <c r="D36" s="31">
        <f t="shared" si="0"/>
        <v>6.623444439643757</v>
      </c>
    </row>
    <row r="37" spans="2:4" ht="12.75">
      <c r="B37" s="2">
        <v>15</v>
      </c>
      <c r="C37" s="31">
        <f t="shared" si="1"/>
        <v>6.746750668380236</v>
      </c>
      <c r="D37" s="31">
        <f t="shared" si="0"/>
        <v>6.623444439643757</v>
      </c>
    </row>
    <row r="38" spans="2:4" ht="12.75">
      <c r="B38" s="2">
        <v>16</v>
      </c>
      <c r="C38" s="31">
        <f t="shared" si="1"/>
        <v>6.511958570652296</v>
      </c>
      <c r="D38" s="31">
        <f t="shared" si="0"/>
        <v>6.623444439643757</v>
      </c>
    </row>
    <row r="39" spans="2:4" ht="12.75">
      <c r="B39" s="2">
        <v>17</v>
      </c>
      <c r="C39" s="31">
        <f t="shared" si="1"/>
        <v>6.732151315599419</v>
      </c>
      <c r="D39" s="31">
        <f t="shared" si="0"/>
        <v>6.623444439643757</v>
      </c>
    </row>
    <row r="40" spans="2:4" ht="12.75">
      <c r="B40" s="2">
        <v>18</v>
      </c>
      <c r="C40" s="31">
        <f t="shared" si="1"/>
        <v>6.524745735806103</v>
      </c>
      <c r="D40" s="31">
        <f t="shared" si="0"/>
        <v>6.623444439643757</v>
      </c>
    </row>
    <row r="41" spans="2:4" ht="12.75">
      <c r="B41" s="2">
        <v>19</v>
      </c>
      <c r="C41" s="31">
        <f t="shared" si="1"/>
        <v>6.720639496009011</v>
      </c>
      <c r="D41" s="31">
        <f t="shared" si="0"/>
        <v>6.623444439643757</v>
      </c>
    </row>
    <row r="42" spans="2:4" ht="12.75">
      <c r="B42" s="2">
        <v>20</v>
      </c>
      <c r="C42" s="31">
        <f t="shared" si="1"/>
        <v>6.53496989881307</v>
      </c>
      <c r="D42" s="31">
        <f t="shared" si="0"/>
        <v>6.623444439643757</v>
      </c>
    </row>
    <row r="43" spans="2:4" ht="12.75">
      <c r="B43" s="2">
        <v>21</v>
      </c>
      <c r="C43" s="31">
        <f t="shared" si="1"/>
        <v>6.7113297766127245</v>
      </c>
      <c r="D43" s="31">
        <f t="shared" si="0"/>
        <v>6.623444439643757</v>
      </c>
    </row>
    <row r="44" spans="2:4" ht="12.75">
      <c r="B44" s="2">
        <v>22</v>
      </c>
      <c r="C44" s="31">
        <f t="shared" si="1"/>
        <v>6.543328337527223</v>
      </c>
      <c r="D44" s="31">
        <f t="shared" si="0"/>
        <v>6.623444439643757</v>
      </c>
    </row>
    <row r="45" spans="2:4" ht="12.75">
      <c r="B45" s="2">
        <v>23</v>
      </c>
      <c r="C45" s="31">
        <f t="shared" si="1"/>
        <v>6.703645646301921</v>
      </c>
      <c r="D45" s="31">
        <f t="shared" si="0"/>
        <v>6.623444439643757</v>
      </c>
    </row>
    <row r="46" spans="2:4" ht="12.75">
      <c r="B46" s="2">
        <v>24</v>
      </c>
      <c r="C46" s="31">
        <f t="shared" si="1"/>
        <v>6.55028683248122</v>
      </c>
      <c r="D46" s="31">
        <f t="shared" si="0"/>
        <v>6.623444439643757</v>
      </c>
    </row>
    <row r="47" spans="2:4" ht="12.75">
      <c r="B47" s="2">
        <v>25</v>
      </c>
      <c r="C47" s="31">
        <f t="shared" si="1"/>
        <v>6.697195631837551</v>
      </c>
      <c r="D47" s="31">
        <f t="shared" si="0"/>
        <v>6.623444439643757</v>
      </c>
    </row>
    <row r="48" spans="2:4" ht="12.75">
      <c r="B48" s="2">
        <v>26</v>
      </c>
      <c r="C48" s="31">
        <f t="shared" si="1"/>
        <v>6.55616829264471</v>
      </c>
      <c r="D48" s="31">
        <f t="shared" si="0"/>
        <v>6.623444439643757</v>
      </c>
    </row>
    <row r="49" spans="2:4" ht="12.75">
      <c r="B49" s="2">
        <v>27</v>
      </c>
      <c r="C49" s="31">
        <f t="shared" si="1"/>
        <v>6.691704590799991</v>
      </c>
      <c r="D49" s="31">
        <f t="shared" si="0"/>
        <v>6.623444439643757</v>
      </c>
    </row>
    <row r="50" spans="2:4" ht="12.75">
      <c r="B50" s="2">
        <v>28</v>
      </c>
      <c r="C50" s="31">
        <f t="shared" si="1"/>
        <v>6.561203584500255</v>
      </c>
      <c r="D50" s="31">
        <f t="shared" si="0"/>
        <v>6.623444439643757</v>
      </c>
    </row>
    <row r="51" spans="2:4" ht="12.75">
      <c r="B51" s="2">
        <v>29</v>
      </c>
      <c r="C51" s="31">
        <f t="shared" si="1"/>
        <v>6.686973496705853</v>
      </c>
      <c r="D51" s="31">
        <f t="shared" si="0"/>
        <v>6.623444439643757</v>
      </c>
    </row>
    <row r="52" spans="2:4" ht="12.75">
      <c r="B52" s="2">
        <v>30</v>
      </c>
      <c r="C52" s="31">
        <f t="shared" si="1"/>
        <v>6.565562114889202</v>
      </c>
      <c r="D52" s="31">
        <f t="shared" si="0"/>
        <v>6.623444439643757</v>
      </c>
    </row>
    <row r="53" spans="2:4" ht="12.75">
      <c r="B53" s="2">
        <v>31</v>
      </c>
      <c r="C53" s="31">
        <f t="shared" si="1"/>
        <v>6.682854824997805</v>
      </c>
      <c r="D53" s="31">
        <f t="shared" si="0"/>
        <v>6.623444439643757</v>
      </c>
    </row>
    <row r="54" spans="2:4" ht="12.75">
      <c r="B54" s="2">
        <v>32</v>
      </c>
      <c r="C54" s="31">
        <f t="shared" si="1"/>
        <v>6.569370986715293</v>
      </c>
      <c r="D54" s="31">
        <f t="shared" si="0"/>
        <v>6.623444439643757</v>
      </c>
    </row>
    <row r="55" spans="2:4" ht="12.75">
      <c r="B55" s="2">
        <v>33</v>
      </c>
      <c r="C55" s="31">
        <f t="shared" si="1"/>
        <v>6.679236908877</v>
      </c>
      <c r="D55" s="31">
        <f t="shared" si="0"/>
        <v>6.623444439643757</v>
      </c>
    </row>
    <row r="56" spans="2:4" ht="12.75">
      <c r="B56" s="2">
        <v>34</v>
      </c>
      <c r="C56" s="31">
        <f t="shared" si="1"/>
        <v>6.572727414795289</v>
      </c>
      <c r="D56" s="31">
        <f t="shared" si="0"/>
        <v>6.623444439643757</v>
      </c>
    </row>
    <row r="57" spans="2:4" ht="12.75">
      <c r="B57" s="2">
        <v>35</v>
      </c>
      <c r="C57" s="31">
        <f t="shared" si="1"/>
        <v>6.676033670248934</v>
      </c>
      <c r="D57" s="31">
        <f t="shared" si="0"/>
        <v>6.623444439643757</v>
      </c>
    </row>
    <row r="58" spans="2:4" ht="12.75">
      <c r="B58" s="2">
        <v>36</v>
      </c>
      <c r="C58" s="31">
        <f t="shared" si="1"/>
        <v>6.575707014093377</v>
      </c>
      <c r="D58" s="31">
        <f t="shared" si="0"/>
        <v>6.623444439643757</v>
      </c>
    </row>
    <row r="59" spans="2:4" ht="12.75">
      <c r="B59" s="2">
        <v>37</v>
      </c>
      <c r="C59" s="31">
        <f t="shared" si="1"/>
        <v>6.673177688123725</v>
      </c>
      <c r="D59" s="31">
        <f t="shared" si="0"/>
        <v>6.623444439643757</v>
      </c>
    </row>
    <row r="60" spans="2:4" ht="12.75">
      <c r="B60" s="2">
        <v>38</v>
      </c>
      <c r="C60" s="31">
        <f t="shared" si="1"/>
        <v>6.578369476544179</v>
      </c>
      <c r="D60" s="31">
        <f t="shared" si="0"/>
        <v>6.623444439643757</v>
      </c>
    </row>
    <row r="61" spans="2:4" ht="12.75">
      <c r="B61" s="2">
        <v>39</v>
      </c>
      <c r="C61" s="31">
        <f t="shared" si="1"/>
        <v>6.670615404173402</v>
      </c>
      <c r="D61" s="31">
        <f t="shared" si="0"/>
        <v>6.623444439643757</v>
      </c>
    </row>
    <row r="62" spans="2:4" ht="12.75">
      <c r="B62" s="2">
        <v>40</v>
      </c>
      <c r="C62" s="31">
        <f t="shared" si="1"/>
        <v>6.580762548083928</v>
      </c>
      <c r="D62" s="31">
        <f t="shared" si="0"/>
        <v>6.623444439643757</v>
      </c>
    </row>
    <row r="63" spans="2:4" ht="12.75">
      <c r="B63" s="2">
        <v>41</v>
      </c>
      <c r="C63" s="31">
        <f t="shared" si="1"/>
        <v>6.668303734344031</v>
      </c>
      <c r="D63" s="31">
        <f t="shared" si="0"/>
        <v>6.623444439643757</v>
      </c>
    </row>
    <row r="64" spans="2:4" ht="12.75">
      <c r="B64" s="2">
        <v>42</v>
      </c>
      <c r="C64" s="31">
        <f t="shared" si="1"/>
        <v>6.582924871197171</v>
      </c>
      <c r="D64" s="31">
        <f t="shared" si="0"/>
        <v>6.623444439643757</v>
      </c>
    </row>
    <row r="65" spans="2:4" ht="12.75">
      <c r="B65" s="2">
        <v>43</v>
      </c>
      <c r="C65" s="31">
        <f t="shared" si="1"/>
        <v>6.666207627906944</v>
      </c>
      <c r="D65" s="31">
        <f t="shared" si="0"/>
        <v>6.623444439643757</v>
      </c>
    </row>
    <row r="66" spans="2:4" ht="12.75">
      <c r="B66" s="2">
        <v>44</v>
      </c>
      <c r="C66" s="31">
        <f t="shared" si="1"/>
        <v>6.584888053234906</v>
      </c>
      <c r="D66" s="31">
        <f t="shared" si="0"/>
        <v>6.623444439643757</v>
      </c>
    </row>
    <row r="67" spans="2:4" ht="12.75">
      <c r="B67" s="2">
        <v>45</v>
      </c>
      <c r="C67" s="31">
        <f t="shared" si="1"/>
        <v>6.6642982786685545</v>
      </c>
      <c r="D67" s="31">
        <f t="shared" si="0"/>
        <v>6.623444439643757</v>
      </c>
    </row>
    <row r="68" spans="2:4" ht="12.75">
      <c r="B68" s="2">
        <v>46</v>
      </c>
      <c r="C68" s="31">
        <f t="shared" si="1"/>
        <v>6.586678195732658</v>
      </c>
      <c r="D68" s="31">
        <f t="shared" si="0"/>
        <v>6.623444439643757</v>
      </c>
    </row>
    <row r="69" spans="2:4" ht="12.75">
      <c r="B69" s="2">
        <v>47</v>
      </c>
      <c r="C69" s="31">
        <f t="shared" si="1"/>
        <v>6.66255179373903</v>
      </c>
      <c r="D69" s="31">
        <f t="shared" si="0"/>
        <v>6.623444439643757</v>
      </c>
    </row>
    <row r="70" spans="2:4" ht="12.75">
      <c r="B70" s="2">
        <v>48</v>
      </c>
      <c r="C70" s="31">
        <f t="shared" si="1"/>
        <v>6.588317041703561</v>
      </c>
      <c r="D70" s="31">
        <f t="shared" si="0"/>
        <v>6.623444439643757</v>
      </c>
    </row>
    <row r="71" spans="2:4" ht="12.75">
      <c r="B71" s="2">
        <v>49</v>
      </c>
      <c r="C71" s="31">
        <f t="shared" si="1"/>
        <v>6.6609481889061115</v>
      </c>
      <c r="D71" s="31">
        <f t="shared" si="0"/>
        <v>6.623444439643757</v>
      </c>
    </row>
    <row r="72" spans="2:4" ht="12.75">
      <c r="B72" s="2">
        <v>50</v>
      </c>
      <c r="C72" s="31">
        <f t="shared" si="1"/>
        <v>6.589822847738895</v>
      </c>
      <c r="D72" s="31">
        <f t="shared" si="0"/>
        <v>6.623444439643757</v>
      </c>
    </row>
    <row r="75" spans="2:3" ht="12.75">
      <c r="B75" s="2"/>
      <c r="C75" s="31"/>
    </row>
    <row r="76" spans="2:3" ht="12.75">
      <c r="B76" s="2"/>
      <c r="C76" s="31"/>
    </row>
    <row r="77" spans="2:3" ht="12.75">
      <c r="B77" s="2"/>
      <c r="C77" s="31"/>
    </row>
    <row r="78" spans="2:3" ht="12.75">
      <c r="B78" s="2"/>
      <c r="C78" s="31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58"/>
  <sheetViews>
    <sheetView zoomScalePageLayoutView="0" workbookViewId="0" topLeftCell="A1">
      <selection activeCell="A34" sqref="A34"/>
    </sheetView>
  </sheetViews>
  <sheetFormatPr defaultColWidth="9.140625" defaultRowHeight="12.75"/>
  <cols>
    <col min="7" max="7" width="11.421875" style="0" customWidth="1"/>
    <col min="10" max="10" width="12.421875" style="0" bestFit="1" customWidth="1"/>
  </cols>
  <sheetData>
    <row r="1" spans="3:9" ht="15.75">
      <c r="C1" s="125"/>
      <c r="D1" s="125"/>
      <c r="E1" s="125" t="s">
        <v>292</v>
      </c>
      <c r="F1" s="125"/>
      <c r="G1" s="125"/>
      <c r="H1" s="125"/>
      <c r="I1" s="125"/>
    </row>
    <row r="4" spans="1:9" ht="12.75">
      <c r="A4" t="s">
        <v>45</v>
      </c>
      <c r="B4" s="44">
        <v>1</v>
      </c>
      <c r="H4" t="s">
        <v>5</v>
      </c>
      <c r="I4" s="2">
        <v>50</v>
      </c>
    </row>
    <row r="5" spans="1:9" ht="12.75">
      <c r="A5" t="s">
        <v>6</v>
      </c>
      <c r="B5" s="2">
        <v>50</v>
      </c>
      <c r="H5" t="s">
        <v>44</v>
      </c>
      <c r="I5" s="3">
        <v>0.05</v>
      </c>
    </row>
    <row r="6" spans="1:9" ht="12.75">
      <c r="A6" t="s">
        <v>44</v>
      </c>
      <c r="B6" s="3">
        <v>0.05</v>
      </c>
      <c r="H6" t="s">
        <v>14</v>
      </c>
      <c r="I6" s="3">
        <v>0.3</v>
      </c>
    </row>
    <row r="7" spans="1:9" ht="12.75">
      <c r="A7" t="s">
        <v>14</v>
      </c>
      <c r="B7" s="3">
        <v>0.25</v>
      </c>
      <c r="H7" t="s">
        <v>22</v>
      </c>
      <c r="I7" s="3" t="b">
        <v>1</v>
      </c>
    </row>
    <row r="8" spans="1:10" ht="12.75">
      <c r="A8" t="s">
        <v>22</v>
      </c>
      <c r="B8" s="3" t="b">
        <v>0</v>
      </c>
      <c r="H8" t="s">
        <v>4</v>
      </c>
      <c r="I8" s="2">
        <v>1</v>
      </c>
      <c r="J8" s="4" t="s">
        <v>29</v>
      </c>
    </row>
    <row r="9" spans="1:3" ht="12.75">
      <c r="A9" t="s">
        <v>4</v>
      </c>
      <c r="B9" s="2">
        <v>2</v>
      </c>
      <c r="C9" s="4" t="s">
        <v>29</v>
      </c>
    </row>
    <row r="11" spans="10:12" ht="13.5" thickBot="1">
      <c r="J11" s="193" t="s">
        <v>6</v>
      </c>
      <c r="K11" s="193"/>
      <c r="L11" s="193"/>
    </row>
    <row r="12" spans="1:12" ht="13.5" thickTop="1">
      <c r="A12" t="s">
        <v>0</v>
      </c>
      <c r="B12" t="s">
        <v>4</v>
      </c>
      <c r="I12" s="39"/>
      <c r="J12" s="39">
        <v>40</v>
      </c>
      <c r="K12" s="39">
        <v>50</v>
      </c>
      <c r="L12" s="39">
        <v>60</v>
      </c>
    </row>
    <row r="13" spans="1:12" ht="12.75">
      <c r="A13">
        <v>10</v>
      </c>
      <c r="B13">
        <f>Black_Scholes(A13,$B$5,$B$6,0,$B$7,$B$4,$B$8,FALSE,,$B$9)</f>
        <v>1.2277340151269994E-09</v>
      </c>
      <c r="I13" s="2">
        <v>0.005</v>
      </c>
      <c r="J13" s="45">
        <f aca="true" t="shared" si="0" ref="J13:L32">Black_Scholes($I$4,J$12,$I$5,0,$I$6,$I13,$I$7,FALSE,,$I$8)</f>
        <v>1</v>
      </c>
      <c r="K13" s="45">
        <f t="shared" si="0"/>
        <v>0.5089322755418734</v>
      </c>
      <c r="L13" s="45">
        <f t="shared" si="0"/>
        <v>5.1351714334646E-18</v>
      </c>
    </row>
    <row r="14" spans="1:12" ht="12.75">
      <c r="A14">
        <v>12</v>
      </c>
      <c r="B14">
        <f aca="true" t="shared" si="1" ref="B14:B58">Black_Scholes(A14,$B$5,$B$6,0,$B$7,$B$4,$B$8,FALSE,,$B$9)</f>
        <v>6.768503028887313E-08</v>
      </c>
      <c r="I14" s="40">
        <v>0.01</v>
      </c>
      <c r="J14" s="45">
        <f t="shared" si="0"/>
        <v>0.9999999999999595</v>
      </c>
      <c r="K14" s="45">
        <f t="shared" si="0"/>
        <v>0.5126310927769342</v>
      </c>
      <c r="L14" s="45">
        <f t="shared" si="0"/>
        <v>7.464765112113786E-10</v>
      </c>
    </row>
    <row r="15" spans="1:12" ht="12.75">
      <c r="A15">
        <v>14</v>
      </c>
      <c r="B15">
        <f t="shared" si="1"/>
        <v>1.326201764511012E-06</v>
      </c>
      <c r="I15" s="40">
        <v>0.05</v>
      </c>
      <c r="J15" s="45">
        <f t="shared" si="0"/>
        <v>0.9996595976602236</v>
      </c>
      <c r="K15" s="45">
        <f t="shared" si="0"/>
        <v>0.5282250909603998</v>
      </c>
      <c r="L15" s="45">
        <f t="shared" si="0"/>
        <v>0.00405954319058072</v>
      </c>
    </row>
    <row r="16" spans="1:12" ht="12.75">
      <c r="A16">
        <v>16</v>
      </c>
      <c r="B16">
        <f t="shared" si="1"/>
        <v>1.2835898890089012E-05</v>
      </c>
      <c r="I16" s="40">
        <v>0.1</v>
      </c>
      <c r="J16" s="45">
        <f t="shared" si="0"/>
        <v>0.9929022550036913</v>
      </c>
      <c r="K16" s="45">
        <f t="shared" si="0"/>
        <v>0.5398829672030077</v>
      </c>
      <c r="L16" s="45">
        <f t="shared" si="0"/>
        <v>0.03425026698106381</v>
      </c>
    </row>
    <row r="17" spans="1:12" ht="12.75">
      <c r="A17">
        <v>18</v>
      </c>
      <c r="B17">
        <f t="shared" si="1"/>
        <v>7.501278585850459E-05</v>
      </c>
      <c r="I17" s="40">
        <v>0.15</v>
      </c>
      <c r="J17" s="45">
        <f t="shared" si="0"/>
        <v>0.9794816859278518</v>
      </c>
      <c r="K17" s="45">
        <f t="shared" si="0"/>
        <v>0.5488057026042362</v>
      </c>
      <c r="L17" s="45">
        <f t="shared" si="0"/>
        <v>0.0740143968691737</v>
      </c>
    </row>
    <row r="18" spans="1:12" ht="12.75">
      <c r="A18">
        <v>20</v>
      </c>
      <c r="B18">
        <f t="shared" si="1"/>
        <v>0.0003015060014356673</v>
      </c>
      <c r="I18" s="40">
        <v>0.2</v>
      </c>
      <c r="J18" s="45">
        <f t="shared" si="0"/>
        <v>0.9644495236616605</v>
      </c>
      <c r="K18" s="45">
        <f t="shared" si="0"/>
        <v>0.5563089883574591</v>
      </c>
      <c r="L18" s="45">
        <f t="shared" si="0"/>
        <v>0.11173997941572054</v>
      </c>
    </row>
    <row r="19" spans="1:12" ht="12.75">
      <c r="A19">
        <v>22</v>
      </c>
      <c r="B19">
        <f t="shared" si="1"/>
        <v>0.0009107000734364895</v>
      </c>
      <c r="I19" s="40">
        <v>0.25</v>
      </c>
      <c r="J19" s="45">
        <f t="shared" si="0"/>
        <v>0.9501137082886626</v>
      </c>
      <c r="K19" s="45">
        <f t="shared" si="0"/>
        <v>0.562902919423803</v>
      </c>
      <c r="L19" s="45">
        <f t="shared" si="0"/>
        <v>0.1452230360388007</v>
      </c>
    </row>
    <row r="20" spans="1:12" ht="12.75">
      <c r="A20">
        <v>24</v>
      </c>
      <c r="B20">
        <f t="shared" si="1"/>
        <v>0.0022005750320702386</v>
      </c>
      <c r="I20" s="40">
        <v>0.3</v>
      </c>
      <c r="J20" s="45">
        <f t="shared" si="0"/>
        <v>0.9371713507211199</v>
      </c>
      <c r="K20" s="45">
        <f t="shared" si="0"/>
        <v>0.5688493375126582</v>
      </c>
      <c r="L20" s="45">
        <f t="shared" si="0"/>
        <v>0.17460358571560006</v>
      </c>
    </row>
    <row r="21" spans="1:12" ht="12.75">
      <c r="A21">
        <v>26</v>
      </c>
      <c r="B21">
        <f t="shared" si="1"/>
        <v>0.004451975268789569</v>
      </c>
      <c r="I21" s="40">
        <v>0.35</v>
      </c>
      <c r="J21" s="45">
        <f t="shared" si="0"/>
        <v>0.9257167859205672</v>
      </c>
      <c r="K21" s="45">
        <f t="shared" si="0"/>
        <v>0.5743039262201226</v>
      </c>
      <c r="L21" s="45">
        <f t="shared" si="0"/>
        <v>0.2004757162485973</v>
      </c>
    </row>
    <row r="22" spans="1:12" ht="12.75">
      <c r="A22">
        <v>28</v>
      </c>
      <c r="B22">
        <f t="shared" si="1"/>
        <v>0.007801704543711829</v>
      </c>
      <c r="I22" s="40">
        <v>0.4</v>
      </c>
      <c r="J22" s="45">
        <f t="shared" si="0"/>
        <v>0.9156428818047531</v>
      </c>
      <c r="K22" s="45">
        <f t="shared" si="0"/>
        <v>0.5793682115331044</v>
      </c>
      <c r="L22" s="45">
        <f t="shared" si="0"/>
        <v>0.2234355841304239</v>
      </c>
    </row>
    <row r="23" spans="1:12" ht="12.75">
      <c r="A23">
        <v>30</v>
      </c>
      <c r="B23">
        <f t="shared" si="1"/>
        <v>0.012153679858920857</v>
      </c>
      <c r="I23" s="40">
        <v>0.45</v>
      </c>
      <c r="J23" s="45">
        <f t="shared" si="0"/>
        <v>0.9067885355074364</v>
      </c>
      <c r="K23" s="45">
        <f t="shared" si="0"/>
        <v>0.584112775928997</v>
      </c>
      <c r="L23" s="45">
        <f t="shared" si="0"/>
        <v>0.2439863579832673</v>
      </c>
    </row>
    <row r="24" spans="1:12" ht="12.75">
      <c r="A24">
        <v>32</v>
      </c>
      <c r="B24">
        <f t="shared" si="1"/>
        <v>0.0171733457088045</v>
      </c>
      <c r="I24" s="40">
        <v>0.5</v>
      </c>
      <c r="J24" s="45">
        <f t="shared" si="0"/>
        <v>0.8989914009368971</v>
      </c>
      <c r="K24" s="45">
        <f t="shared" si="0"/>
        <v>0.5885890555872235</v>
      </c>
      <c r="L24" s="45">
        <f t="shared" si="0"/>
        <v>0.2625332307758027</v>
      </c>
    </row>
    <row r="25" spans="1:12" ht="12.75">
      <c r="A25">
        <v>34</v>
      </c>
      <c r="B25">
        <f t="shared" si="1"/>
        <v>0.02236315893570392</v>
      </c>
      <c r="I25" s="40">
        <v>0.55</v>
      </c>
      <c r="J25" s="45">
        <f t="shared" si="0"/>
        <v>0.8921051797047123</v>
      </c>
      <c r="K25" s="45">
        <f t="shared" si="0"/>
        <v>0.5928359151723046</v>
      </c>
      <c r="L25" s="45">
        <f t="shared" si="0"/>
        <v>0.27939884689153155</v>
      </c>
    </row>
    <row r="26" spans="1:12" ht="12.75">
      <c r="A26">
        <v>36</v>
      </c>
      <c r="B26">
        <f t="shared" si="1"/>
        <v>0.027180928774375633</v>
      </c>
      <c r="I26" s="40">
        <v>0.6</v>
      </c>
      <c r="J26" s="45">
        <f t="shared" si="0"/>
        <v>0.8860036172358261</v>
      </c>
      <c r="K26" s="45">
        <f t="shared" si="0"/>
        <v>0.5968835755984062</v>
      </c>
      <c r="L26" s="45">
        <f t="shared" si="0"/>
        <v>0.2948405725978187</v>
      </c>
    </row>
    <row r="27" spans="1:12" ht="12.75">
      <c r="A27">
        <v>38</v>
      </c>
      <c r="B27">
        <f t="shared" si="1"/>
        <v>0.031154406265241963</v>
      </c>
      <c r="I27" s="40">
        <v>0.65</v>
      </c>
      <c r="J27" s="45">
        <f t="shared" si="0"/>
        <v>0.880579678398987</v>
      </c>
      <c r="K27" s="45">
        <f t="shared" si="0"/>
        <v>0.6007560915022229</v>
      </c>
      <c r="L27" s="45">
        <f t="shared" si="0"/>
        <v>0.30906512714082346</v>
      </c>
    </row>
    <row r="28" spans="1:12" ht="12.75">
      <c r="A28">
        <v>40</v>
      </c>
      <c r="B28">
        <f t="shared" si="1"/>
        <v>0.033959254658109936</v>
      </c>
      <c r="I28" s="40">
        <v>0.7</v>
      </c>
      <c r="J28" s="45">
        <f t="shared" si="0"/>
        <v>0.8757431995368906</v>
      </c>
      <c r="K28" s="45">
        <f t="shared" si="0"/>
        <v>0.604472983838983</v>
      </c>
      <c r="L28" s="45">
        <f t="shared" si="0"/>
        <v>0.3222400294185111</v>
      </c>
    </row>
    <row r="29" spans="1:12" ht="12.75">
      <c r="A29">
        <v>42</v>
      </c>
      <c r="B29">
        <f t="shared" si="1"/>
        <v>0.035449018405483014</v>
      </c>
      <c r="I29" s="40">
        <v>0.75</v>
      </c>
      <c r="J29" s="45">
        <f t="shared" si="0"/>
        <v>0.8714182872039319</v>
      </c>
      <c r="K29" s="45">
        <f t="shared" si="0"/>
        <v>0.608050355213944</v>
      </c>
      <c r="L29" s="45">
        <f t="shared" si="0"/>
        <v>0.33450231725228613</v>
      </c>
    </row>
    <row r="30" spans="1:12" ht="12.75">
      <c r="A30">
        <v>44</v>
      </c>
      <c r="B30">
        <f t="shared" si="1"/>
        <v>0.03564330706003984</v>
      </c>
      <c r="I30" s="40">
        <v>0.8</v>
      </c>
      <c r="J30" s="45">
        <f t="shared" si="0"/>
        <v>0.8675409229096774</v>
      </c>
      <c r="K30" s="45">
        <f t="shared" si="0"/>
        <v>0.6115016752256998</v>
      </c>
      <c r="L30" s="45">
        <f t="shared" si="0"/>
        <v>0.3459651447261489</v>
      </c>
    </row>
    <row r="31" spans="1:12" ht="12.75">
      <c r="A31">
        <v>46</v>
      </c>
      <c r="B31">
        <f t="shared" si="1"/>
        <v>0.034689372095436516</v>
      </c>
      <c r="I31" s="40">
        <v>0.85</v>
      </c>
      <c r="J31" s="45">
        <f t="shared" si="0"/>
        <v>0.8640569076051708</v>
      </c>
      <c r="K31" s="45">
        <f t="shared" si="0"/>
        <v>0.6148383478704373</v>
      </c>
      <c r="L31" s="45">
        <f t="shared" si="0"/>
        <v>0.3567227842982435</v>
      </c>
    </row>
    <row r="32" spans="1:12" ht="12.75">
      <c r="A32">
        <v>48</v>
      </c>
      <c r="B32">
        <f t="shared" si="1"/>
        <v>0.03281332579061357</v>
      </c>
      <c r="I32" s="40">
        <v>0.9</v>
      </c>
      <c r="J32" s="45">
        <f t="shared" si="0"/>
        <v>0.860920152795376</v>
      </c>
      <c r="K32" s="45">
        <f t="shared" si="0"/>
        <v>0.61807013068283</v>
      </c>
      <c r="L32" s="45">
        <f t="shared" si="0"/>
        <v>0.36685444275832607</v>
      </c>
    </row>
    <row r="33" spans="1:12" ht="12.75">
      <c r="A33">
        <v>50</v>
      </c>
      <c r="B33">
        <f t="shared" si="1"/>
        <v>0.030273586555138197</v>
      </c>
      <c r="I33" s="40">
        <v>0.95</v>
      </c>
      <c r="J33" s="45">
        <f aca="true" t="shared" si="2" ref="J33:L50">Black_Scholes($I$4,J$12,$I$5,0,$I$6,$I33,$I$7,FALSE,,$I$8)</f>
        <v>0.8580912804710273</v>
      </c>
      <c r="K33" s="45">
        <f t="shared" si="2"/>
        <v>0.6212054503967311</v>
      </c>
      <c r="L33" s="45">
        <f t="shared" si="2"/>
        <v>0.3764271957188511</v>
      </c>
    </row>
    <row r="34" spans="1:12" ht="12.75">
      <c r="A34">
        <v>52</v>
      </c>
      <c r="B34">
        <f t="shared" si="1"/>
        <v>0.027323901897161284</v>
      </c>
      <c r="I34" s="40">
        <v>1</v>
      </c>
      <c r="J34" s="45">
        <f t="shared" si="2"/>
        <v>0.8555364829342257</v>
      </c>
      <c r="K34" s="45">
        <f t="shared" si="2"/>
        <v>0.6242516447471829</v>
      </c>
      <c r="L34" s="45">
        <f t="shared" si="2"/>
        <v>0.3854982641453574</v>
      </c>
    </row>
    <row r="35" spans="1:12" ht="12.75">
      <c r="A35">
        <v>54</v>
      </c>
      <c r="B35">
        <f t="shared" si="1"/>
        <v>0.024188593813917966</v>
      </c>
      <c r="I35" s="40">
        <v>1.25</v>
      </c>
      <c r="J35" s="45">
        <f t="shared" si="2"/>
        <v>0.8459767282736909</v>
      </c>
      <c r="K35" s="45">
        <f t="shared" si="2"/>
        <v>0.6383470041431166</v>
      </c>
      <c r="L35" s="45">
        <f t="shared" si="2"/>
        <v>0.42483728222606076</v>
      </c>
    </row>
    <row r="36" spans="1:12" ht="12.75">
      <c r="A36">
        <v>56</v>
      </c>
      <c r="B36">
        <f t="shared" si="1"/>
        <v>0.021049409299855822</v>
      </c>
      <c r="I36" s="40">
        <v>1.5</v>
      </c>
      <c r="J36" s="45">
        <f t="shared" si="2"/>
        <v>0.8401697161037753</v>
      </c>
      <c r="K36" s="45">
        <f t="shared" si="2"/>
        <v>0.6509311862830613</v>
      </c>
      <c r="L36" s="45">
        <f t="shared" si="2"/>
        <v>0.4568468835352542</v>
      </c>
    </row>
    <row r="37" spans="1:12" ht="12.75">
      <c r="A37">
        <v>58</v>
      </c>
      <c r="B37">
        <f t="shared" si="1"/>
        <v>0.018041625327887598</v>
      </c>
      <c r="I37" s="40">
        <v>1.75</v>
      </c>
      <c r="J37" s="45">
        <f t="shared" si="2"/>
        <v>0.8367478836030001</v>
      </c>
      <c r="K37" s="45">
        <f t="shared" si="2"/>
        <v>0.6623592212073062</v>
      </c>
      <c r="L37" s="45">
        <f t="shared" si="2"/>
        <v>0.48384860271937163</v>
      </c>
    </row>
    <row r="38" spans="1:12" ht="12.75">
      <c r="A38">
        <v>60</v>
      </c>
      <c r="B38">
        <f t="shared" si="1"/>
        <v>0.015256517980278122</v>
      </c>
      <c r="I38" s="40">
        <v>2</v>
      </c>
      <c r="J38" s="45">
        <f t="shared" si="2"/>
        <v>0.834919261471795</v>
      </c>
      <c r="K38" s="45">
        <f t="shared" si="2"/>
        <v>0.6728635669020916</v>
      </c>
      <c r="L38" s="45">
        <f t="shared" si="2"/>
        <v>0.5072197823414827</v>
      </c>
    </row>
    <row r="39" spans="1:12" ht="12.75">
      <c r="A39">
        <v>62</v>
      </c>
      <c r="B39">
        <f t="shared" si="1"/>
        <v>0.012747512865952526</v>
      </c>
      <c r="I39" s="40">
        <v>2.25</v>
      </c>
      <c r="J39" s="45">
        <f t="shared" si="2"/>
        <v>0.8341946234021628</v>
      </c>
      <c r="K39" s="45">
        <f t="shared" si="2"/>
        <v>0.682606490701918</v>
      </c>
      <c r="L39" s="45">
        <f t="shared" si="2"/>
        <v>0.5278399346163074</v>
      </c>
    </row>
    <row r="40" spans="1:12" ht="12.75">
      <c r="A40">
        <v>64</v>
      </c>
      <c r="B40">
        <f t="shared" si="1"/>
        <v>0.010537899529532747</v>
      </c>
      <c r="I40" s="40">
        <v>2.5</v>
      </c>
      <c r="J40" s="45">
        <f t="shared" si="2"/>
        <v>0.8342562015929592</v>
      </c>
      <c r="K40" s="45">
        <f t="shared" si="2"/>
        <v>0.6917067308751296</v>
      </c>
      <c r="L40" s="45">
        <f t="shared" si="2"/>
        <v>0.5463030827108557</v>
      </c>
    </row>
    <row r="41" spans="1:12" ht="12.75">
      <c r="A41">
        <v>66</v>
      </c>
      <c r="B41">
        <f t="shared" si="1"/>
        <v>0.008628645652633405</v>
      </c>
      <c r="I41" s="40">
        <v>2.75</v>
      </c>
      <c r="J41" s="45">
        <f t="shared" si="2"/>
        <v>0.8348892100554274</v>
      </c>
      <c r="K41" s="45">
        <f t="shared" si="2"/>
        <v>0.7002543788458746</v>
      </c>
      <c r="L41" s="45">
        <f t="shared" si="2"/>
        <v>0.5630285172504141</v>
      </c>
    </row>
    <row r="42" spans="1:12" ht="12.75">
      <c r="A42">
        <v>68</v>
      </c>
      <c r="B42">
        <f t="shared" si="1"/>
        <v>0.007005433536343646</v>
      </c>
      <c r="I42" s="40">
        <v>3</v>
      </c>
      <c r="J42" s="45">
        <f t="shared" si="2"/>
        <v>0.8359437215629802</v>
      </c>
      <c r="K42" s="45">
        <f t="shared" si="2"/>
        <v>0.7083197837541216</v>
      </c>
      <c r="L42" s="45">
        <f t="shared" si="2"/>
        <v>0.5783228027235702</v>
      </c>
    </row>
    <row r="43" spans="1:12" ht="12.75">
      <c r="A43">
        <v>70</v>
      </c>
      <c r="B43">
        <f t="shared" si="1"/>
        <v>0.00564449610191074</v>
      </c>
      <c r="I43" s="40">
        <v>3.25</v>
      </c>
      <c r="J43" s="45">
        <f t="shared" si="2"/>
        <v>0.8373122811726483</v>
      </c>
      <c r="K43" s="45">
        <f t="shared" si="2"/>
        <v>0.7159591779285803</v>
      </c>
      <c r="L43" s="45">
        <f t="shared" si="2"/>
        <v>0.5924167197976196</v>
      </c>
    </row>
    <row r="44" spans="1:12" ht="12.75">
      <c r="A44">
        <v>72</v>
      </c>
      <c r="B44">
        <f t="shared" si="1"/>
        <v>0.004517142654813787</v>
      </c>
      <c r="I44" s="40">
        <v>3.5</v>
      </c>
      <c r="J44" s="45">
        <f t="shared" si="2"/>
        <v>0.8389161658982662</v>
      </c>
      <c r="K44" s="45">
        <f t="shared" si="2"/>
        <v>0.7232183898050375</v>
      </c>
      <c r="L44" s="45">
        <f t="shared" si="2"/>
        <v>0.6054882940621994</v>
      </c>
    </row>
    <row r="45" spans="1:12" ht="12.75">
      <c r="A45">
        <v>74</v>
      </c>
      <c r="B45">
        <f t="shared" si="1"/>
        <v>0.0035930549832553283</v>
      </c>
      <c r="I45" s="40">
        <v>3.75</v>
      </c>
      <c r="J45" s="45">
        <f t="shared" si="2"/>
        <v>0.840696631304254</v>
      </c>
      <c r="K45" s="45">
        <f t="shared" si="2"/>
        <v>0.7301353844971376</v>
      </c>
      <c r="L45" s="45">
        <f t="shared" si="2"/>
        <v>0.6176777328850546</v>
      </c>
    </row>
    <row r="46" spans="1:12" ht="12.75">
      <c r="A46">
        <v>76</v>
      </c>
      <c r="B46">
        <f t="shared" si="1"/>
        <v>0.0028425316330245097</v>
      </c>
      <c r="I46" s="40">
        <v>4</v>
      </c>
      <c r="J46" s="45">
        <f t="shared" si="2"/>
        <v>0.8426091553099927</v>
      </c>
      <c r="K46" s="45">
        <f t="shared" si="2"/>
        <v>0.7367420555660804</v>
      </c>
      <c r="L46" s="45">
        <f t="shared" si="2"/>
        <v>0.6290974449397179</v>
      </c>
    </row>
    <row r="47" spans="1:12" ht="12.75">
      <c r="A47">
        <v>78</v>
      </c>
      <c r="B47">
        <f t="shared" si="1"/>
        <v>0.0022378920541162323</v>
      </c>
      <c r="I47" s="40">
        <v>4.25</v>
      </c>
      <c r="J47" s="45">
        <f t="shared" si="2"/>
        <v>0.8446195480480635</v>
      </c>
      <c r="K47" s="45">
        <f t="shared" si="2"/>
        <v>0.7430655216491909</v>
      </c>
      <c r="L47" s="45">
        <f t="shared" si="2"/>
        <v>0.6398389578472489</v>
      </c>
    </row>
    <row r="48" spans="1:12" ht="12.75">
      <c r="A48">
        <v>80</v>
      </c>
      <c r="B48">
        <f t="shared" si="1"/>
        <v>0.0017542474511375527</v>
      </c>
      <c r="I48" s="40">
        <v>4.5</v>
      </c>
      <c r="J48" s="45">
        <f t="shared" si="2"/>
        <v>0.8467012595702722</v>
      </c>
      <c r="K48" s="45">
        <f t="shared" si="2"/>
        <v>0.7491290858357177</v>
      </c>
      <c r="L48" s="45">
        <f t="shared" si="2"/>
        <v>0.6499778151809837</v>
      </c>
    </row>
    <row r="49" spans="1:12" ht="12.75">
      <c r="A49">
        <v>82</v>
      </c>
      <c r="B49">
        <f t="shared" si="1"/>
        <v>0.0013698199005779193</v>
      </c>
      <c r="I49" s="40">
        <v>4.75</v>
      </c>
      <c r="J49" s="45">
        <f t="shared" si="2"/>
        <v>0.8488334772839305</v>
      </c>
      <c r="K49" s="45">
        <f t="shared" si="2"/>
        <v>0.7549529593702271</v>
      </c>
      <c r="L49" s="45">
        <f t="shared" si="2"/>
        <v>0.6595771198206533</v>
      </c>
    </row>
    <row r="50" spans="1:12" ht="12.75">
      <c r="A50">
        <v>84</v>
      </c>
      <c r="B50">
        <f t="shared" si="1"/>
        <v>0.0010659579473386034</v>
      </c>
      <c r="I50" s="40">
        <v>5</v>
      </c>
      <c r="J50" s="45">
        <f t="shared" si="2"/>
        <v>0.8509997564502041</v>
      </c>
      <c r="K50" s="45">
        <f t="shared" si="2"/>
        <v>0.7605548169392872</v>
      </c>
      <c r="L50" s="45">
        <f t="shared" si="2"/>
        <v>0.6686901479053714</v>
      </c>
    </row>
    <row r="51" spans="1:2" ht="12.75">
      <c r="A51">
        <v>86</v>
      </c>
      <c r="B51">
        <f t="shared" si="1"/>
        <v>0.0008269629720608991</v>
      </c>
    </row>
    <row r="52" spans="1:2" ht="12.75">
      <c r="A52">
        <v>88</v>
      </c>
      <c r="B52">
        <f t="shared" si="1"/>
        <v>0.0006398101540351602</v>
      </c>
    </row>
    <row r="53" spans="1:2" ht="12.75">
      <c r="A53">
        <v>90</v>
      </c>
      <c r="B53">
        <f t="shared" si="1"/>
        <v>0.0004938225507736542</v>
      </c>
    </row>
    <row r="54" spans="1:2" ht="12.75">
      <c r="A54">
        <v>92</v>
      </c>
      <c r="B54">
        <f t="shared" si="1"/>
        <v>0.00038033697917683727</v>
      </c>
    </row>
    <row r="55" spans="1:2" ht="12.75">
      <c r="A55">
        <v>94</v>
      </c>
      <c r="B55">
        <f t="shared" si="1"/>
        <v>0.0002923855604624091</v>
      </c>
    </row>
    <row r="56" spans="1:2" ht="12.75">
      <c r="A56">
        <v>96</v>
      </c>
      <c r="B56">
        <f t="shared" si="1"/>
        <v>0.00022440619177332426</v>
      </c>
    </row>
    <row r="57" spans="1:2" ht="12.75">
      <c r="A57">
        <v>98</v>
      </c>
      <c r="B57">
        <f t="shared" si="1"/>
        <v>0.00017198796087791444</v>
      </c>
    </row>
    <row r="58" spans="1:2" ht="12.75">
      <c r="A58">
        <v>100</v>
      </c>
      <c r="B58">
        <f t="shared" si="1"/>
        <v>0.0001316528131127517</v>
      </c>
    </row>
  </sheetData>
  <sheetProtection/>
  <mergeCells count="1">
    <mergeCell ref="J11:L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U21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57421875" style="0" bestFit="1" customWidth="1"/>
    <col min="2" max="2" width="12.57421875" style="0" bestFit="1" customWidth="1"/>
    <col min="7" max="7" width="10.57421875" style="0" bestFit="1" customWidth="1"/>
    <col min="8" max="8" width="9.7109375" style="0" customWidth="1"/>
    <col min="15" max="15" width="10.28125" style="0" customWidth="1"/>
    <col min="20" max="20" width="10.00390625" style="0" bestFit="1" customWidth="1"/>
  </cols>
  <sheetData>
    <row r="1" spans="1:19" ht="15.75">
      <c r="A1" s="125"/>
      <c r="B1" s="125"/>
      <c r="C1" s="125"/>
      <c r="D1" s="125"/>
      <c r="E1" s="125"/>
      <c r="G1" s="125"/>
      <c r="H1" s="126" t="s">
        <v>295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5"/>
      <c r="B2" s="125"/>
      <c r="C2" s="125"/>
      <c r="D2" s="125"/>
      <c r="E2" s="125"/>
      <c r="F2" s="125"/>
      <c r="G2" s="125"/>
      <c r="H2" s="126" t="s">
        <v>327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.75">
      <c r="A3" s="125"/>
      <c r="B3" s="125"/>
      <c r="C3" s="125"/>
      <c r="D3" s="125"/>
      <c r="E3" s="125"/>
      <c r="F3" s="125"/>
      <c r="G3" s="125"/>
      <c r="H3" s="126" t="s">
        <v>293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5.75">
      <c r="A4" s="125"/>
      <c r="B4" s="125"/>
      <c r="C4" s="125"/>
      <c r="D4" s="125"/>
      <c r="F4" s="125"/>
      <c r="G4" s="125"/>
      <c r="H4" s="126" t="s">
        <v>326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6" spans="1:6" ht="12.75">
      <c r="A6" s="18" t="s">
        <v>64</v>
      </c>
      <c r="F6" s="18" t="s">
        <v>63</v>
      </c>
    </row>
    <row r="8" spans="2:9" ht="13.5" thickBot="1">
      <c r="B8" s="17" t="s">
        <v>5</v>
      </c>
      <c r="C8" s="2">
        <v>50</v>
      </c>
      <c r="G8" s="197" t="s">
        <v>61</v>
      </c>
      <c r="H8" s="197"/>
      <c r="I8" s="197"/>
    </row>
    <row r="9" spans="2:10" ht="13.5" thickBot="1">
      <c r="B9" s="17" t="s">
        <v>44</v>
      </c>
      <c r="C9" s="3">
        <v>0.05</v>
      </c>
      <c r="F9" s="29"/>
      <c r="G9" s="70" t="s">
        <v>54</v>
      </c>
      <c r="H9" s="76" t="s">
        <v>65</v>
      </c>
      <c r="I9" s="75" t="s">
        <v>66</v>
      </c>
      <c r="J9" s="66" t="s">
        <v>79</v>
      </c>
    </row>
    <row r="10" spans="2:10" ht="13.5" thickTop="1">
      <c r="B10" s="17" t="s">
        <v>48</v>
      </c>
      <c r="C10" s="3">
        <v>0.2</v>
      </c>
      <c r="F10" s="69" t="s">
        <v>57</v>
      </c>
      <c r="G10" s="71" t="e">
        <f>K42</f>
        <v>#NAME?</v>
      </c>
      <c r="H10" s="77">
        <f>MAX(F41-$C$11,0)*$C$12</f>
        <v>0</v>
      </c>
      <c r="I10" s="58" t="e">
        <f>G10+H10</f>
        <v>#NAME?</v>
      </c>
      <c r="J10" s="46" t="e">
        <f>T42</f>
        <v>#NAME?</v>
      </c>
    </row>
    <row r="11" spans="2:10" ht="13.5" thickBot="1">
      <c r="B11" s="17" t="s">
        <v>6</v>
      </c>
      <c r="C11" s="2">
        <v>50</v>
      </c>
      <c r="F11" s="69" t="s">
        <v>58</v>
      </c>
      <c r="G11" s="72" t="e">
        <f>R42</f>
        <v>#NAME?</v>
      </c>
      <c r="H11" s="78">
        <f>MAX(M41-$C$11,0)*$C$12</f>
        <v>1086981.6418453276</v>
      </c>
      <c r="I11" s="65" t="e">
        <f>G11+H11</f>
        <v>#NAME?</v>
      </c>
      <c r="J11" s="46" t="e">
        <f>U42</f>
        <v>#NAME?</v>
      </c>
    </row>
    <row r="12" spans="2:6" ht="12.75">
      <c r="B12" s="17" t="s">
        <v>52</v>
      </c>
      <c r="C12" s="47">
        <v>100000</v>
      </c>
      <c r="E12" s="67"/>
      <c r="F12" s="17"/>
    </row>
    <row r="13" spans="2:9" ht="13.5" thickBot="1">
      <c r="B13" s="17" t="s">
        <v>30</v>
      </c>
      <c r="C13" s="2">
        <f>20*7/365</f>
        <v>0.3835616438356164</v>
      </c>
      <c r="E13" s="67"/>
      <c r="F13" s="17"/>
      <c r="G13" s="198" t="s">
        <v>62</v>
      </c>
      <c r="H13" s="198"/>
      <c r="I13" s="198"/>
    </row>
    <row r="14" spans="2:10" ht="13.5" thickBot="1">
      <c r="B14" s="17" t="s">
        <v>22</v>
      </c>
      <c r="C14" s="2" t="b">
        <v>1</v>
      </c>
      <c r="F14" s="69"/>
      <c r="G14" s="70" t="s">
        <v>54</v>
      </c>
      <c r="H14" s="76" t="s">
        <v>65</v>
      </c>
      <c r="I14" s="75" t="s">
        <v>66</v>
      </c>
      <c r="J14" s="66" t="s">
        <v>79</v>
      </c>
    </row>
    <row r="15" spans="6:10" ht="13.5" thickTop="1">
      <c r="F15" s="69" t="s">
        <v>57</v>
      </c>
      <c r="G15" s="73" t="e">
        <f>K187</f>
        <v>#NAME?</v>
      </c>
      <c r="H15" s="77">
        <f>MAX(F186-$C$11,0)*$C$12</f>
        <v>456058.55086540215</v>
      </c>
      <c r="I15" s="58" t="e">
        <f>G15+H15</f>
        <v>#NAME?</v>
      </c>
      <c r="J15" s="46" t="e">
        <f>T187</f>
        <v>#NAME?</v>
      </c>
    </row>
    <row r="16" spans="2:10" ht="13.5" thickBot="1">
      <c r="B16" s="56" t="s">
        <v>59</v>
      </c>
      <c r="C16" s="62">
        <f>Black_Scholes($C$8,$C$11,$C$9,0,$C$10,$C$13,$C$14,FALSE,,0)*$C$12</f>
        <v>294981.084744107</v>
      </c>
      <c r="F16" s="69" t="s">
        <v>58</v>
      </c>
      <c r="G16" s="74" t="e">
        <f>R187</f>
        <v>#NAME?</v>
      </c>
      <c r="H16" s="78">
        <f>MAX(M186-$C$11,0)*$C$12</f>
        <v>0</v>
      </c>
      <c r="I16" s="65" t="e">
        <f>G16+H16</f>
        <v>#NAME?</v>
      </c>
      <c r="J16" s="46" t="e">
        <f>U187</f>
        <v>#NAME?</v>
      </c>
    </row>
    <row r="18" ht="13.5" thickBot="1"/>
    <row r="19" spans="6:21" ht="13.5" thickBot="1">
      <c r="F19" s="191" t="s">
        <v>57</v>
      </c>
      <c r="G19" s="196"/>
      <c r="H19" s="196"/>
      <c r="I19" s="196"/>
      <c r="J19" s="196"/>
      <c r="K19" s="192"/>
      <c r="M19" s="191" t="s">
        <v>58</v>
      </c>
      <c r="N19" s="196"/>
      <c r="O19" s="196"/>
      <c r="P19" s="196"/>
      <c r="Q19" s="196"/>
      <c r="R19" s="192"/>
      <c r="T19" s="191" t="s">
        <v>80</v>
      </c>
      <c r="U19" s="192"/>
    </row>
    <row r="20" spans="1:21" ht="25.5" customHeight="1" thickBot="1">
      <c r="A20" s="194" t="s">
        <v>56</v>
      </c>
      <c r="B20" s="195"/>
      <c r="D20" s="54" t="s">
        <v>49</v>
      </c>
      <c r="E20" s="54" t="s">
        <v>30</v>
      </c>
      <c r="F20" s="59" t="s">
        <v>5</v>
      </c>
      <c r="G20" s="60" t="s">
        <v>50</v>
      </c>
      <c r="H20" s="60" t="s">
        <v>51</v>
      </c>
      <c r="I20" s="60" t="s">
        <v>53</v>
      </c>
      <c r="J20" s="60" t="s">
        <v>55</v>
      </c>
      <c r="K20" s="61" t="s">
        <v>54</v>
      </c>
      <c r="L20" s="55"/>
      <c r="M20" s="59" t="s">
        <v>5</v>
      </c>
      <c r="N20" s="60" t="s">
        <v>50</v>
      </c>
      <c r="O20" s="60" t="s">
        <v>51</v>
      </c>
      <c r="P20" s="60" t="s">
        <v>53</v>
      </c>
      <c r="Q20" s="60" t="s">
        <v>55</v>
      </c>
      <c r="R20" s="61" t="s">
        <v>54</v>
      </c>
      <c r="T20" s="136" t="s">
        <v>304</v>
      </c>
      <c r="U20" s="137" t="s">
        <v>305</v>
      </c>
    </row>
    <row r="21" spans="1:21" ht="14.25" thickBot="1" thickTop="1">
      <c r="A21" s="51" t="s">
        <v>46</v>
      </c>
      <c r="B21" s="50" t="s">
        <v>47</v>
      </c>
      <c r="D21" s="2">
        <v>0</v>
      </c>
      <c r="E21" s="35">
        <f>D21*7/365</f>
        <v>0</v>
      </c>
      <c r="F21" s="26">
        <f>C8</f>
        <v>50</v>
      </c>
      <c r="G21" s="37">
        <f>Black_Scholes(F21,$C$11,$C$9,0,$C$10,$C$13-E21,$C$14,FALSE,,1)</f>
        <v>0.5858035150451049</v>
      </c>
      <c r="H21" s="57">
        <f>G21*$C$12</f>
        <v>58580.35150451049</v>
      </c>
      <c r="I21" s="57">
        <f>H21*F21</f>
        <v>2929017.575225524</v>
      </c>
      <c r="J21" s="57">
        <f>(EXP($C$9*(E22-E21))-1)*K21</f>
        <v>2809.994032039718</v>
      </c>
      <c r="K21" s="58">
        <f>I21</f>
        <v>2929017.575225524</v>
      </c>
      <c r="L21" s="47"/>
      <c r="M21" s="26">
        <f>C8</f>
        <v>50</v>
      </c>
      <c r="N21" s="37">
        <f>Black_Scholes(M21,$C$11,$C$9,0,$C$10,$C$13-E21,$C$14,FALSE,,1)</f>
        <v>0.5858035150451049</v>
      </c>
      <c r="O21" s="57">
        <f>N21*$C$12</f>
        <v>58580.35150451049</v>
      </c>
      <c r="P21" s="57">
        <f>O21*M21</f>
        <v>2929017.575225524</v>
      </c>
      <c r="Q21" s="57">
        <f>(EXP($C$9*(E22-E21))-1)*R21</f>
        <v>2809.994032039718</v>
      </c>
      <c r="R21" s="58">
        <f>P21</f>
        <v>2929017.575225524</v>
      </c>
      <c r="T21" s="132">
        <f>ABS(H21)</f>
        <v>58580.35150451049</v>
      </c>
      <c r="U21" s="58">
        <f>ABS(O21)</f>
        <v>58580.35150451049</v>
      </c>
    </row>
    <row r="22" spans="1:21" ht="13.5" thickTop="1">
      <c r="A22" s="52">
        <f aca="true" ca="1" t="shared" si="0" ref="A22:A41">0.000005+0.99999*RAND()</f>
        <v>0.06939844533308806</v>
      </c>
      <c r="B22" s="48">
        <f aca="true" t="shared" si="1" ref="B22:B41">NORMSINV(A22)</f>
        <v>-1.4802861767852389</v>
      </c>
      <c r="D22" s="2">
        <v>1</v>
      </c>
      <c r="E22" s="35">
        <f aca="true" t="shared" si="2" ref="E22:E40">D22*7/365</f>
        <v>0.019178082191780823</v>
      </c>
      <c r="F22" s="26">
        <f aca="true" t="shared" si="3" ref="F22:F41">F21*EXP(($C$9-0.5*$C$10*$C$10)*(E22-E21)+$C$10*B22*SQRT(E22-E21))</f>
        <v>48.019101304206515</v>
      </c>
      <c r="G22" s="37" t="e">
        <f aca="true" t="shared" si="4" ref="G22:G41">Black_Scholes(F22,$C$11,$C$9,0,$C$10,$C$13-E22,$C$14,FALSE,,1)</f>
        <v>#NAME?</v>
      </c>
      <c r="H22" s="57" t="e">
        <f>(G22-G21)*$C$12</f>
        <v>#NAME?</v>
      </c>
      <c r="I22" s="57" t="e">
        <f aca="true" t="shared" si="5" ref="I22:I40">H22*F22</f>
        <v>#NAME?</v>
      </c>
      <c r="J22" s="57" t="e">
        <f aca="true" t="shared" si="6" ref="J22:J40">(EXP($C$9*(E23-E22))-1)*K22</f>
        <v>#NAME?</v>
      </c>
      <c r="K22" s="58" t="e">
        <f>K21+J21+I22</f>
        <v>#NAME?</v>
      </c>
      <c r="L22" s="47"/>
      <c r="M22" s="26">
        <f aca="true" t="shared" si="7" ref="M22:M41">M21*EXP(($C$9-0.5*$C$10*$C$10)*(E22-E21)-$C$10*B22*SQRT(E22-E21))</f>
        <v>52.12255748400045</v>
      </c>
      <c r="N22" s="37" t="e">
        <f aca="true" t="shared" si="8" ref="N22:N41">Black_Scholes(M22,$C$11,$C$9,0,$C$10,$C$13-E22,$C$14,FALSE,,1)</f>
        <v>#NAME?</v>
      </c>
      <c r="O22" s="57" t="e">
        <f aca="true" t="shared" si="9" ref="O22:O41">(N22-N21)*$C$12</f>
        <v>#NAME?</v>
      </c>
      <c r="P22" s="57" t="e">
        <f aca="true" t="shared" si="10" ref="P22:P41">O22*M22</f>
        <v>#NAME?</v>
      </c>
      <c r="Q22" s="57" t="e">
        <f aca="true" t="shared" si="11" ref="Q22:Q40">(EXP($C$9*(E23-E22))-1)*R22</f>
        <v>#NAME?</v>
      </c>
      <c r="R22" s="58" t="e">
        <f>R21+Q21+P22</f>
        <v>#NAME?</v>
      </c>
      <c r="T22" s="132" t="e">
        <f aca="true" t="shared" si="12" ref="T22:T41">ABS(H22)</f>
        <v>#NAME?</v>
      </c>
      <c r="U22" s="58" t="e">
        <f aca="true" t="shared" si="13" ref="U22:U41">ABS(O22)</f>
        <v>#NAME?</v>
      </c>
    </row>
    <row r="23" spans="1:21" ht="12.75">
      <c r="A23" s="52">
        <f ca="1" t="shared" si="0"/>
        <v>0.2699847952613</v>
      </c>
      <c r="B23" s="48">
        <f t="shared" si="1"/>
        <v>-0.6128589766780941</v>
      </c>
      <c r="D23" s="2">
        <v>2</v>
      </c>
      <c r="E23" s="35">
        <f t="shared" si="2"/>
        <v>0.038356164383561646</v>
      </c>
      <c r="F23" s="26">
        <f t="shared" si="3"/>
        <v>47.23805740898965</v>
      </c>
      <c r="G23" s="37" t="e">
        <f t="shared" si="4"/>
        <v>#NAME?</v>
      </c>
      <c r="H23" s="57" t="e">
        <f aca="true" t="shared" si="14" ref="H23:H41">(G23-G22)*$C$12</f>
        <v>#NAME?</v>
      </c>
      <c r="I23" s="57" t="e">
        <f t="shared" si="5"/>
        <v>#NAME?</v>
      </c>
      <c r="J23" s="57" t="e">
        <f t="shared" si="6"/>
        <v>#NAME?</v>
      </c>
      <c r="K23" s="58" t="e">
        <f aca="true" t="shared" si="15" ref="K23:K41">K22+J22+I23</f>
        <v>#NAME?</v>
      </c>
      <c r="L23" s="47"/>
      <c r="M23" s="26">
        <f t="shared" si="7"/>
        <v>53.04536612128557</v>
      </c>
      <c r="N23" s="37" t="e">
        <f t="shared" si="8"/>
        <v>#NAME?</v>
      </c>
      <c r="O23" s="57" t="e">
        <f t="shared" si="9"/>
        <v>#NAME?</v>
      </c>
      <c r="P23" s="57" t="e">
        <f t="shared" si="10"/>
        <v>#NAME?</v>
      </c>
      <c r="Q23" s="57" t="e">
        <f t="shared" si="11"/>
        <v>#NAME?</v>
      </c>
      <c r="R23" s="58" t="e">
        <f aca="true" t="shared" si="16" ref="R23:R41">R22+Q22+P23</f>
        <v>#NAME?</v>
      </c>
      <c r="T23" s="132" t="e">
        <f t="shared" si="12"/>
        <v>#NAME?</v>
      </c>
      <c r="U23" s="58" t="e">
        <f t="shared" si="13"/>
        <v>#NAME?</v>
      </c>
    </row>
    <row r="24" spans="1:21" ht="12.75">
      <c r="A24" s="52">
        <f ca="1" t="shared" si="0"/>
        <v>0.41617735543738443</v>
      </c>
      <c r="B24" s="48">
        <f t="shared" si="1"/>
        <v>-0.21168253950389393</v>
      </c>
      <c r="D24" s="2">
        <v>3</v>
      </c>
      <c r="E24" s="35">
        <f t="shared" si="2"/>
        <v>0.057534246575342465</v>
      </c>
      <c r="F24" s="26">
        <f t="shared" si="3"/>
        <v>46.988939390810096</v>
      </c>
      <c r="G24" s="37" t="e">
        <f t="shared" si="4"/>
        <v>#NAME?</v>
      </c>
      <c r="H24" s="57" t="e">
        <f t="shared" si="14"/>
        <v>#NAME?</v>
      </c>
      <c r="I24" s="57" t="e">
        <f t="shared" si="5"/>
        <v>#NAME?</v>
      </c>
      <c r="J24" s="57" t="e">
        <f t="shared" si="6"/>
        <v>#NAME?</v>
      </c>
      <c r="K24" s="58" t="e">
        <f t="shared" si="15"/>
        <v>#NAME?</v>
      </c>
      <c r="L24" s="47"/>
      <c r="M24" s="26">
        <f t="shared" si="7"/>
        <v>53.387990504102504</v>
      </c>
      <c r="N24" s="37" t="e">
        <f t="shared" si="8"/>
        <v>#NAME?</v>
      </c>
      <c r="O24" s="57" t="e">
        <f t="shared" si="9"/>
        <v>#NAME?</v>
      </c>
      <c r="P24" s="57" t="e">
        <f t="shared" si="10"/>
        <v>#NAME?</v>
      </c>
      <c r="Q24" s="57" t="e">
        <f t="shared" si="11"/>
        <v>#NAME?</v>
      </c>
      <c r="R24" s="58" t="e">
        <f t="shared" si="16"/>
        <v>#NAME?</v>
      </c>
      <c r="T24" s="132" t="e">
        <f t="shared" si="12"/>
        <v>#NAME?</v>
      </c>
      <c r="U24" s="58" t="e">
        <f t="shared" si="13"/>
        <v>#NAME?</v>
      </c>
    </row>
    <row r="25" spans="1:21" ht="12.75">
      <c r="A25" s="52">
        <f ca="1" t="shared" si="0"/>
        <v>0.7687470944103615</v>
      </c>
      <c r="B25" s="48">
        <f t="shared" si="1"/>
        <v>0.7347269378384274</v>
      </c>
      <c r="D25" s="2">
        <v>4</v>
      </c>
      <c r="E25" s="35">
        <f t="shared" si="2"/>
        <v>0.07671232876712329</v>
      </c>
      <c r="F25" s="26">
        <f t="shared" si="3"/>
        <v>47.98254550447164</v>
      </c>
      <c r="G25" s="37" t="e">
        <f t="shared" si="4"/>
        <v>#NAME?</v>
      </c>
      <c r="H25" s="57" t="e">
        <f t="shared" si="14"/>
        <v>#NAME?</v>
      </c>
      <c r="I25" s="57" t="e">
        <f t="shared" si="5"/>
        <v>#NAME?</v>
      </c>
      <c r="J25" s="57" t="e">
        <f t="shared" si="6"/>
        <v>#NAME?</v>
      </c>
      <c r="K25" s="58" t="e">
        <f t="shared" si="15"/>
        <v>#NAME?</v>
      </c>
      <c r="L25" s="47"/>
      <c r="M25" s="26">
        <f t="shared" si="7"/>
        <v>52.342645541246085</v>
      </c>
      <c r="N25" s="37" t="e">
        <f t="shared" si="8"/>
        <v>#NAME?</v>
      </c>
      <c r="O25" s="57" t="e">
        <f t="shared" si="9"/>
        <v>#NAME?</v>
      </c>
      <c r="P25" s="57" t="e">
        <f t="shared" si="10"/>
        <v>#NAME?</v>
      </c>
      <c r="Q25" s="57" t="e">
        <f t="shared" si="11"/>
        <v>#NAME?</v>
      </c>
      <c r="R25" s="58" t="e">
        <f t="shared" si="16"/>
        <v>#NAME?</v>
      </c>
      <c r="T25" s="132" t="e">
        <f t="shared" si="12"/>
        <v>#NAME?</v>
      </c>
      <c r="U25" s="58" t="e">
        <f t="shared" si="13"/>
        <v>#NAME?</v>
      </c>
    </row>
    <row r="26" spans="1:21" ht="12.75">
      <c r="A26" s="52">
        <f ca="1" t="shared" si="0"/>
        <v>0.6283800519058624</v>
      </c>
      <c r="B26" s="48">
        <f t="shared" si="1"/>
        <v>0.32756591618557995</v>
      </c>
      <c r="D26" s="2">
        <v>5</v>
      </c>
      <c r="E26" s="35">
        <f t="shared" si="2"/>
        <v>0.0958904109589041</v>
      </c>
      <c r="F26" s="26">
        <f t="shared" si="3"/>
        <v>48.447718237017085</v>
      </c>
      <c r="G26" s="37" t="e">
        <f t="shared" si="4"/>
        <v>#NAME?</v>
      </c>
      <c r="H26" s="57" t="e">
        <f t="shared" si="14"/>
        <v>#NAME?</v>
      </c>
      <c r="I26" s="57" t="e">
        <f t="shared" si="5"/>
        <v>#NAME?</v>
      </c>
      <c r="J26" s="57" t="e">
        <f t="shared" si="6"/>
        <v>#NAME?</v>
      </c>
      <c r="K26" s="58" t="e">
        <f t="shared" si="15"/>
        <v>#NAME?</v>
      </c>
      <c r="L26" s="47"/>
      <c r="M26" s="26">
        <f t="shared" si="7"/>
        <v>51.89976143313801</v>
      </c>
      <c r="N26" s="37" t="e">
        <f t="shared" si="8"/>
        <v>#NAME?</v>
      </c>
      <c r="O26" s="57" t="e">
        <f t="shared" si="9"/>
        <v>#NAME?</v>
      </c>
      <c r="P26" s="57" t="e">
        <f t="shared" si="10"/>
        <v>#NAME?</v>
      </c>
      <c r="Q26" s="57" t="e">
        <f t="shared" si="11"/>
        <v>#NAME?</v>
      </c>
      <c r="R26" s="58" t="e">
        <f t="shared" si="16"/>
        <v>#NAME?</v>
      </c>
      <c r="T26" s="132" t="e">
        <f t="shared" si="12"/>
        <v>#NAME?</v>
      </c>
      <c r="U26" s="58" t="e">
        <f t="shared" si="13"/>
        <v>#NAME?</v>
      </c>
    </row>
    <row r="27" spans="1:21" ht="12.75">
      <c r="A27" s="52">
        <f ca="1" t="shared" si="0"/>
        <v>0.0342450373035723</v>
      </c>
      <c r="B27" s="48">
        <f t="shared" si="1"/>
        <v>-1.8217687939788876</v>
      </c>
      <c r="D27" s="2">
        <v>6</v>
      </c>
      <c r="E27" s="35">
        <f t="shared" si="2"/>
        <v>0.11506849315068493</v>
      </c>
      <c r="F27" s="26">
        <f t="shared" si="3"/>
        <v>46.09032560894431</v>
      </c>
      <c r="G27" s="37" t="e">
        <f t="shared" si="4"/>
        <v>#NAME?</v>
      </c>
      <c r="H27" s="57" t="e">
        <f t="shared" si="14"/>
        <v>#NAME?</v>
      </c>
      <c r="I27" s="57" t="e">
        <f t="shared" si="5"/>
        <v>#NAME?</v>
      </c>
      <c r="J27" s="57" t="e">
        <f t="shared" si="6"/>
        <v>#NAME?</v>
      </c>
      <c r="K27" s="58" t="e">
        <f t="shared" si="15"/>
        <v>#NAME?</v>
      </c>
      <c r="L27" s="47"/>
      <c r="M27" s="26">
        <f t="shared" si="7"/>
        <v>54.617101560594854</v>
      </c>
      <c r="N27" s="37" t="e">
        <f t="shared" si="8"/>
        <v>#NAME?</v>
      </c>
      <c r="O27" s="57" t="e">
        <f t="shared" si="9"/>
        <v>#NAME?</v>
      </c>
      <c r="P27" s="57" t="e">
        <f t="shared" si="10"/>
        <v>#NAME?</v>
      </c>
      <c r="Q27" s="57" t="e">
        <f t="shared" si="11"/>
        <v>#NAME?</v>
      </c>
      <c r="R27" s="58" t="e">
        <f t="shared" si="16"/>
        <v>#NAME?</v>
      </c>
      <c r="T27" s="132" t="e">
        <f t="shared" si="12"/>
        <v>#NAME?</v>
      </c>
      <c r="U27" s="58" t="e">
        <f t="shared" si="13"/>
        <v>#NAME?</v>
      </c>
    </row>
    <row r="28" spans="1:21" ht="12.75">
      <c r="A28" s="52">
        <f ca="1" t="shared" si="0"/>
        <v>0.3807272450605222</v>
      </c>
      <c r="B28" s="48">
        <f t="shared" si="1"/>
        <v>-0.30357133864059405</v>
      </c>
      <c r="D28" s="2">
        <v>7</v>
      </c>
      <c r="E28" s="35">
        <f t="shared" si="2"/>
        <v>0.13424657534246576</v>
      </c>
      <c r="F28" s="26">
        <f t="shared" si="3"/>
        <v>45.730725449422465</v>
      </c>
      <c r="G28" s="37" t="e">
        <f t="shared" si="4"/>
        <v>#NAME?</v>
      </c>
      <c r="H28" s="57" t="e">
        <f t="shared" si="14"/>
        <v>#NAME?</v>
      </c>
      <c r="I28" s="57" t="e">
        <f t="shared" si="5"/>
        <v>#NAME?</v>
      </c>
      <c r="J28" s="57" t="e">
        <f t="shared" si="6"/>
        <v>#NAME?</v>
      </c>
      <c r="K28" s="58" t="e">
        <f t="shared" si="15"/>
        <v>#NAME?</v>
      </c>
      <c r="L28" s="47"/>
      <c r="M28" s="26">
        <f t="shared" si="7"/>
        <v>55.10995680395071</v>
      </c>
      <c r="N28" s="37" t="e">
        <f t="shared" si="8"/>
        <v>#NAME?</v>
      </c>
      <c r="O28" s="57" t="e">
        <f t="shared" si="9"/>
        <v>#NAME?</v>
      </c>
      <c r="P28" s="57" t="e">
        <f t="shared" si="10"/>
        <v>#NAME?</v>
      </c>
      <c r="Q28" s="57" t="e">
        <f t="shared" si="11"/>
        <v>#NAME?</v>
      </c>
      <c r="R28" s="58" t="e">
        <f t="shared" si="16"/>
        <v>#NAME?</v>
      </c>
      <c r="T28" s="132" t="e">
        <f t="shared" si="12"/>
        <v>#NAME?</v>
      </c>
      <c r="U28" s="58" t="e">
        <f t="shared" si="13"/>
        <v>#NAME?</v>
      </c>
    </row>
    <row r="29" spans="1:21" ht="12.75">
      <c r="A29" s="52">
        <f ca="1" t="shared" si="0"/>
        <v>0.6629774883392342</v>
      </c>
      <c r="B29" s="48">
        <f t="shared" si="1"/>
        <v>0.420602971787314</v>
      </c>
      <c r="D29" s="2">
        <v>8</v>
      </c>
      <c r="E29" s="35">
        <f t="shared" si="2"/>
        <v>0.15342465753424658</v>
      </c>
      <c r="F29" s="26">
        <f t="shared" si="3"/>
        <v>46.29320454870374</v>
      </c>
      <c r="G29" s="37" t="e">
        <f t="shared" si="4"/>
        <v>#NAME?</v>
      </c>
      <c r="H29" s="57" t="e">
        <f t="shared" si="14"/>
        <v>#NAME?</v>
      </c>
      <c r="I29" s="57" t="e">
        <f t="shared" si="5"/>
        <v>#NAME?</v>
      </c>
      <c r="J29" s="57" t="e">
        <f t="shared" si="6"/>
        <v>#NAME?</v>
      </c>
      <c r="K29" s="58" t="e">
        <f t="shared" si="15"/>
        <v>#NAME?</v>
      </c>
      <c r="L29" s="47"/>
      <c r="M29" s="26">
        <f t="shared" si="7"/>
        <v>54.503030737985924</v>
      </c>
      <c r="N29" s="37" t="e">
        <f t="shared" si="8"/>
        <v>#NAME?</v>
      </c>
      <c r="O29" s="57" t="e">
        <f t="shared" si="9"/>
        <v>#NAME?</v>
      </c>
      <c r="P29" s="57" t="e">
        <f t="shared" si="10"/>
        <v>#NAME?</v>
      </c>
      <c r="Q29" s="57" t="e">
        <f t="shared" si="11"/>
        <v>#NAME?</v>
      </c>
      <c r="R29" s="58" t="e">
        <f t="shared" si="16"/>
        <v>#NAME?</v>
      </c>
      <c r="T29" s="132" t="e">
        <f t="shared" si="12"/>
        <v>#NAME?</v>
      </c>
      <c r="U29" s="58" t="e">
        <f t="shared" si="13"/>
        <v>#NAME?</v>
      </c>
    </row>
    <row r="30" spans="1:21" ht="12.75">
      <c r="A30" s="52">
        <f ca="1" t="shared" si="0"/>
        <v>0.13471517013623835</v>
      </c>
      <c r="B30" s="48">
        <f t="shared" si="1"/>
        <v>-1.1043753703588326</v>
      </c>
      <c r="D30" s="2">
        <v>9</v>
      </c>
      <c r="E30" s="35">
        <f t="shared" si="2"/>
        <v>0.1726027397260274</v>
      </c>
      <c r="F30" s="26">
        <f t="shared" si="3"/>
        <v>44.92447060112009</v>
      </c>
      <c r="G30" s="37" t="e">
        <f t="shared" si="4"/>
        <v>#NAME?</v>
      </c>
      <c r="H30" s="57" t="e">
        <f t="shared" si="14"/>
        <v>#NAME?</v>
      </c>
      <c r="I30" s="57" t="e">
        <f t="shared" si="5"/>
        <v>#NAME?</v>
      </c>
      <c r="J30" s="57" t="e">
        <f t="shared" si="6"/>
        <v>#NAME?</v>
      </c>
      <c r="K30" s="58" t="e">
        <f t="shared" si="15"/>
        <v>#NAME?</v>
      </c>
      <c r="L30" s="47"/>
      <c r="M30" s="26">
        <f t="shared" si="7"/>
        <v>56.228262766979</v>
      </c>
      <c r="N30" s="37" t="e">
        <f t="shared" si="8"/>
        <v>#NAME?</v>
      </c>
      <c r="O30" s="57" t="e">
        <f t="shared" si="9"/>
        <v>#NAME?</v>
      </c>
      <c r="P30" s="57" t="e">
        <f t="shared" si="10"/>
        <v>#NAME?</v>
      </c>
      <c r="Q30" s="57" t="e">
        <f t="shared" si="11"/>
        <v>#NAME?</v>
      </c>
      <c r="R30" s="58" t="e">
        <f t="shared" si="16"/>
        <v>#NAME?</v>
      </c>
      <c r="T30" s="132" t="e">
        <f t="shared" si="12"/>
        <v>#NAME?</v>
      </c>
      <c r="U30" s="58" t="e">
        <f t="shared" si="13"/>
        <v>#NAME?</v>
      </c>
    </row>
    <row r="31" spans="1:21" ht="12.75">
      <c r="A31" s="52">
        <f ca="1" t="shared" si="0"/>
        <v>0.19624289190895308</v>
      </c>
      <c r="B31" s="48">
        <f t="shared" si="1"/>
        <v>-0.8551180755799184</v>
      </c>
      <c r="D31" s="2">
        <v>10</v>
      </c>
      <c r="E31" s="35">
        <f t="shared" si="2"/>
        <v>0.1917808219178082</v>
      </c>
      <c r="F31" s="26">
        <f t="shared" si="3"/>
        <v>43.89822092856449</v>
      </c>
      <c r="G31" s="37" t="e">
        <f t="shared" si="4"/>
        <v>#NAME?</v>
      </c>
      <c r="H31" s="57" t="e">
        <f t="shared" si="14"/>
        <v>#NAME?</v>
      </c>
      <c r="I31" s="57" t="e">
        <f t="shared" si="5"/>
        <v>#NAME?</v>
      </c>
      <c r="J31" s="57" t="e">
        <f t="shared" si="6"/>
        <v>#NAME?</v>
      </c>
      <c r="K31" s="58" t="e">
        <f t="shared" si="15"/>
        <v>#NAME?</v>
      </c>
      <c r="L31" s="47"/>
      <c r="M31" s="26">
        <f t="shared" si="7"/>
        <v>57.60901503367881</v>
      </c>
      <c r="N31" s="37" t="e">
        <f t="shared" si="8"/>
        <v>#NAME?</v>
      </c>
      <c r="O31" s="57" t="e">
        <f t="shared" si="9"/>
        <v>#NAME?</v>
      </c>
      <c r="P31" s="57" t="e">
        <f t="shared" si="10"/>
        <v>#NAME?</v>
      </c>
      <c r="Q31" s="57" t="e">
        <f t="shared" si="11"/>
        <v>#NAME?</v>
      </c>
      <c r="R31" s="58" t="e">
        <f t="shared" si="16"/>
        <v>#NAME?</v>
      </c>
      <c r="T31" s="132" t="e">
        <f t="shared" si="12"/>
        <v>#NAME?</v>
      </c>
      <c r="U31" s="58" t="e">
        <f t="shared" si="13"/>
        <v>#NAME?</v>
      </c>
    </row>
    <row r="32" spans="1:21" ht="12.75">
      <c r="A32" s="52">
        <f ca="1" t="shared" si="0"/>
        <v>0.03252819510942913</v>
      </c>
      <c r="B32" s="48">
        <f t="shared" si="1"/>
        <v>-1.8448704220704406</v>
      </c>
      <c r="D32" s="2">
        <v>11</v>
      </c>
      <c r="E32" s="35">
        <f t="shared" si="2"/>
        <v>0.21095890410958903</v>
      </c>
      <c r="F32" s="26">
        <f t="shared" si="3"/>
        <v>41.73548714045268</v>
      </c>
      <c r="G32" s="37" t="e">
        <f t="shared" si="4"/>
        <v>#NAME?</v>
      </c>
      <c r="H32" s="57" t="e">
        <f t="shared" si="14"/>
        <v>#NAME?</v>
      </c>
      <c r="I32" s="57" t="e">
        <f t="shared" si="5"/>
        <v>#NAME?</v>
      </c>
      <c r="J32" s="57" t="e">
        <f t="shared" si="6"/>
        <v>#NAME?</v>
      </c>
      <c r="K32" s="58" t="e">
        <f t="shared" si="15"/>
        <v>#NAME?</v>
      </c>
      <c r="L32" s="47"/>
      <c r="M32" s="26">
        <f t="shared" si="7"/>
        <v>60.66408045515212</v>
      </c>
      <c r="N32" s="37" t="e">
        <f t="shared" si="8"/>
        <v>#NAME?</v>
      </c>
      <c r="O32" s="57" t="e">
        <f t="shared" si="9"/>
        <v>#NAME?</v>
      </c>
      <c r="P32" s="57" t="e">
        <f t="shared" si="10"/>
        <v>#NAME?</v>
      </c>
      <c r="Q32" s="57" t="e">
        <f t="shared" si="11"/>
        <v>#NAME?</v>
      </c>
      <c r="R32" s="58" t="e">
        <f t="shared" si="16"/>
        <v>#NAME?</v>
      </c>
      <c r="T32" s="132" t="e">
        <f t="shared" si="12"/>
        <v>#NAME?</v>
      </c>
      <c r="U32" s="58" t="e">
        <f t="shared" si="13"/>
        <v>#NAME?</v>
      </c>
    </row>
    <row r="33" spans="1:21" ht="12.75">
      <c r="A33" s="52">
        <f ca="1" t="shared" si="0"/>
        <v>0.9087052552978728</v>
      </c>
      <c r="B33" s="48">
        <f t="shared" si="1"/>
        <v>1.332824238784323</v>
      </c>
      <c r="D33" s="2">
        <v>12</v>
      </c>
      <c r="E33" s="35">
        <f t="shared" si="2"/>
        <v>0.23013698630136986</v>
      </c>
      <c r="F33" s="26">
        <f t="shared" si="3"/>
        <v>43.32987454141389</v>
      </c>
      <c r="G33" s="37" t="e">
        <f t="shared" si="4"/>
        <v>#NAME?</v>
      </c>
      <c r="H33" s="57" t="e">
        <f t="shared" si="14"/>
        <v>#NAME?</v>
      </c>
      <c r="I33" s="57" t="e">
        <f t="shared" si="5"/>
        <v>#NAME?</v>
      </c>
      <c r="J33" s="57" t="e">
        <f t="shared" si="6"/>
        <v>#NAME?</v>
      </c>
      <c r="K33" s="58" t="e">
        <f t="shared" si="15"/>
        <v>#NAME?</v>
      </c>
      <c r="L33" s="47"/>
      <c r="M33" s="26">
        <f t="shared" si="7"/>
        <v>58.49913043144633</v>
      </c>
      <c r="N33" s="37" t="e">
        <f t="shared" si="8"/>
        <v>#NAME?</v>
      </c>
      <c r="O33" s="57" t="e">
        <f t="shared" si="9"/>
        <v>#NAME?</v>
      </c>
      <c r="P33" s="57" t="e">
        <f t="shared" si="10"/>
        <v>#NAME?</v>
      </c>
      <c r="Q33" s="57" t="e">
        <f t="shared" si="11"/>
        <v>#NAME?</v>
      </c>
      <c r="R33" s="58" t="e">
        <f t="shared" si="16"/>
        <v>#NAME?</v>
      </c>
      <c r="T33" s="132" t="e">
        <f t="shared" si="12"/>
        <v>#NAME?</v>
      </c>
      <c r="U33" s="58" t="e">
        <f t="shared" si="13"/>
        <v>#NAME?</v>
      </c>
    </row>
    <row r="34" spans="1:21" ht="12.75">
      <c r="A34" s="52">
        <f ca="1" t="shared" si="0"/>
        <v>0.1591076831151374</v>
      </c>
      <c r="B34" s="48">
        <f t="shared" si="1"/>
        <v>-0.9981319764820014</v>
      </c>
      <c r="D34" s="2">
        <v>13</v>
      </c>
      <c r="E34" s="35">
        <f t="shared" si="2"/>
        <v>0.2493150684931507</v>
      </c>
      <c r="F34" s="26">
        <f t="shared" si="3"/>
        <v>42.17267210553377</v>
      </c>
      <c r="G34" s="37" t="e">
        <f t="shared" si="4"/>
        <v>#NAME?</v>
      </c>
      <c r="H34" s="57" t="e">
        <f t="shared" si="14"/>
        <v>#NAME?</v>
      </c>
      <c r="I34" s="57" t="e">
        <f t="shared" si="5"/>
        <v>#NAME?</v>
      </c>
      <c r="J34" s="57" t="e">
        <f t="shared" si="6"/>
        <v>#NAME?</v>
      </c>
      <c r="K34" s="58" t="e">
        <f t="shared" si="15"/>
        <v>#NAME?</v>
      </c>
      <c r="L34" s="47"/>
      <c r="M34" s="26">
        <f t="shared" si="7"/>
        <v>60.173525758429015</v>
      </c>
      <c r="N34" s="37" t="e">
        <f t="shared" si="8"/>
        <v>#NAME?</v>
      </c>
      <c r="O34" s="57" t="e">
        <f t="shared" si="9"/>
        <v>#NAME?</v>
      </c>
      <c r="P34" s="57" t="e">
        <f t="shared" si="10"/>
        <v>#NAME?</v>
      </c>
      <c r="Q34" s="57" t="e">
        <f t="shared" si="11"/>
        <v>#NAME?</v>
      </c>
      <c r="R34" s="58" t="e">
        <f t="shared" si="16"/>
        <v>#NAME?</v>
      </c>
      <c r="T34" s="132" t="e">
        <f t="shared" si="12"/>
        <v>#NAME?</v>
      </c>
      <c r="U34" s="58" t="e">
        <f t="shared" si="13"/>
        <v>#NAME?</v>
      </c>
    </row>
    <row r="35" spans="1:21" ht="12.75">
      <c r="A35" s="52">
        <f ca="1" t="shared" si="0"/>
        <v>0.2585703572103529</v>
      </c>
      <c r="B35" s="48">
        <f t="shared" si="1"/>
        <v>-0.6477591899904092</v>
      </c>
      <c r="D35" s="2">
        <v>14</v>
      </c>
      <c r="E35" s="35">
        <f t="shared" si="2"/>
        <v>0.2684931506849315</v>
      </c>
      <c r="F35" s="26">
        <f t="shared" si="3"/>
        <v>41.44663901915276</v>
      </c>
      <c r="G35" s="37" t="e">
        <f t="shared" si="4"/>
        <v>#NAME?</v>
      </c>
      <c r="H35" s="57" t="e">
        <f t="shared" si="14"/>
        <v>#NAME?</v>
      </c>
      <c r="I35" s="57" t="e">
        <f t="shared" si="5"/>
        <v>#NAME?</v>
      </c>
      <c r="J35" s="57" t="e">
        <f t="shared" si="6"/>
        <v>#NAME?</v>
      </c>
      <c r="K35" s="58" t="e">
        <f t="shared" si="15"/>
        <v>#NAME?</v>
      </c>
      <c r="L35" s="47"/>
      <c r="M35" s="26">
        <f t="shared" si="7"/>
        <v>61.298097513208475</v>
      </c>
      <c r="N35" s="37" t="e">
        <f t="shared" si="8"/>
        <v>#NAME?</v>
      </c>
      <c r="O35" s="57" t="e">
        <f t="shared" si="9"/>
        <v>#NAME?</v>
      </c>
      <c r="P35" s="57" t="e">
        <f t="shared" si="10"/>
        <v>#NAME?</v>
      </c>
      <c r="Q35" s="57" t="e">
        <f t="shared" si="11"/>
        <v>#NAME?</v>
      </c>
      <c r="R35" s="58" t="e">
        <f t="shared" si="16"/>
        <v>#NAME?</v>
      </c>
      <c r="T35" s="132" t="e">
        <f t="shared" si="12"/>
        <v>#NAME?</v>
      </c>
      <c r="U35" s="58" t="e">
        <f t="shared" si="13"/>
        <v>#NAME?</v>
      </c>
    </row>
    <row r="36" spans="1:21" ht="12.75">
      <c r="A36" s="52">
        <f ca="1" t="shared" si="0"/>
        <v>0.29686786486686334</v>
      </c>
      <c r="B36" s="48">
        <f t="shared" si="1"/>
        <v>-0.5334303257551036</v>
      </c>
      <c r="D36" s="2">
        <v>15</v>
      </c>
      <c r="E36" s="35">
        <f t="shared" si="2"/>
        <v>0.2876712328767123</v>
      </c>
      <c r="F36" s="26">
        <f t="shared" si="3"/>
        <v>40.8622935964206</v>
      </c>
      <c r="G36" s="37" t="e">
        <f t="shared" si="4"/>
        <v>#NAME?</v>
      </c>
      <c r="H36" s="57" t="e">
        <f t="shared" si="14"/>
        <v>#NAME?</v>
      </c>
      <c r="I36" s="57" t="e">
        <f t="shared" si="5"/>
        <v>#NAME?</v>
      </c>
      <c r="J36" s="57" t="e">
        <f t="shared" si="6"/>
        <v>#NAME?</v>
      </c>
      <c r="K36" s="58" t="e">
        <f t="shared" si="15"/>
        <v>#NAME?</v>
      </c>
      <c r="L36" s="47"/>
      <c r="M36" s="26">
        <f t="shared" si="7"/>
        <v>62.2462668935397</v>
      </c>
      <c r="N36" s="37" t="e">
        <f t="shared" si="8"/>
        <v>#NAME?</v>
      </c>
      <c r="O36" s="57" t="e">
        <f t="shared" si="9"/>
        <v>#NAME?</v>
      </c>
      <c r="P36" s="57" t="e">
        <f t="shared" si="10"/>
        <v>#NAME?</v>
      </c>
      <c r="Q36" s="57" t="e">
        <f t="shared" si="11"/>
        <v>#NAME?</v>
      </c>
      <c r="R36" s="58" t="e">
        <f t="shared" si="16"/>
        <v>#NAME?</v>
      </c>
      <c r="T36" s="132" t="e">
        <f t="shared" si="12"/>
        <v>#NAME?</v>
      </c>
      <c r="U36" s="58" t="e">
        <f t="shared" si="13"/>
        <v>#NAME?</v>
      </c>
    </row>
    <row r="37" spans="1:21" ht="12.75">
      <c r="A37" s="52">
        <f ca="1" t="shared" si="0"/>
        <v>0.18034646345665478</v>
      </c>
      <c r="B37" s="48">
        <f t="shared" si="1"/>
        <v>-0.9140455210282927</v>
      </c>
      <c r="D37" s="2">
        <v>16</v>
      </c>
      <c r="E37" s="35">
        <f t="shared" si="2"/>
        <v>0.30684931506849317</v>
      </c>
      <c r="F37" s="26">
        <f t="shared" si="3"/>
        <v>39.86372462670139</v>
      </c>
      <c r="G37" s="37" t="e">
        <f t="shared" si="4"/>
        <v>#NAME?</v>
      </c>
      <c r="H37" s="57" t="e">
        <f t="shared" si="14"/>
        <v>#NAME?</v>
      </c>
      <c r="I37" s="57" t="e">
        <f t="shared" si="5"/>
        <v>#NAME?</v>
      </c>
      <c r="J37" s="57" t="e">
        <f t="shared" si="6"/>
        <v>#NAME?</v>
      </c>
      <c r="K37" s="58" t="e">
        <f t="shared" si="15"/>
        <v>#NAME?</v>
      </c>
      <c r="L37" s="47"/>
      <c r="M37" s="26">
        <f t="shared" si="7"/>
        <v>63.87897111084605</v>
      </c>
      <c r="N37" s="37" t="e">
        <f t="shared" si="8"/>
        <v>#NAME?</v>
      </c>
      <c r="O37" s="57" t="e">
        <f t="shared" si="9"/>
        <v>#NAME?</v>
      </c>
      <c r="P37" s="57" t="e">
        <f t="shared" si="10"/>
        <v>#NAME?</v>
      </c>
      <c r="Q37" s="57" t="e">
        <f t="shared" si="11"/>
        <v>#NAME?</v>
      </c>
      <c r="R37" s="58" t="e">
        <f t="shared" si="16"/>
        <v>#NAME?</v>
      </c>
      <c r="T37" s="132" t="e">
        <f t="shared" si="12"/>
        <v>#NAME?</v>
      </c>
      <c r="U37" s="58" t="e">
        <f t="shared" si="13"/>
        <v>#NAME?</v>
      </c>
    </row>
    <row r="38" spans="1:21" ht="12.75">
      <c r="A38" s="52">
        <f ca="1" t="shared" si="0"/>
        <v>0.46927933518715015</v>
      </c>
      <c r="B38" s="48">
        <f t="shared" si="1"/>
        <v>-0.07708154989887633</v>
      </c>
      <c r="D38" s="2">
        <v>17</v>
      </c>
      <c r="E38" s="35">
        <f t="shared" si="2"/>
        <v>0.32602739726027397</v>
      </c>
      <c r="F38" s="26">
        <f t="shared" si="3"/>
        <v>39.80160223495769</v>
      </c>
      <c r="G38" s="37" t="e">
        <f t="shared" si="4"/>
        <v>#NAME?</v>
      </c>
      <c r="H38" s="57" t="e">
        <f t="shared" si="14"/>
        <v>#NAME?</v>
      </c>
      <c r="I38" s="57" t="e">
        <f t="shared" si="5"/>
        <v>#NAME?</v>
      </c>
      <c r="J38" s="57" t="e">
        <f t="shared" si="6"/>
        <v>#NAME?</v>
      </c>
      <c r="K38" s="58" t="e">
        <f t="shared" si="15"/>
        <v>#NAME?</v>
      </c>
      <c r="L38" s="47"/>
      <c r="M38" s="26">
        <f t="shared" si="7"/>
        <v>64.05233515884957</v>
      </c>
      <c r="N38" s="37" t="e">
        <f t="shared" si="8"/>
        <v>#NAME?</v>
      </c>
      <c r="O38" s="57" t="e">
        <f t="shared" si="9"/>
        <v>#NAME?</v>
      </c>
      <c r="P38" s="57" t="e">
        <f t="shared" si="10"/>
        <v>#NAME?</v>
      </c>
      <c r="Q38" s="57" t="e">
        <f t="shared" si="11"/>
        <v>#NAME?</v>
      </c>
      <c r="R38" s="58" t="e">
        <f t="shared" si="16"/>
        <v>#NAME?</v>
      </c>
      <c r="T38" s="132" t="e">
        <f t="shared" si="12"/>
        <v>#NAME?</v>
      </c>
      <c r="U38" s="58" t="e">
        <f t="shared" si="13"/>
        <v>#NAME?</v>
      </c>
    </row>
    <row r="39" spans="1:21" ht="12.75">
      <c r="A39" s="52">
        <f ca="1" t="shared" si="0"/>
        <v>0.6202888501144419</v>
      </c>
      <c r="B39" s="48">
        <f t="shared" si="1"/>
        <v>0.30623949966574204</v>
      </c>
      <c r="D39" s="2">
        <v>18</v>
      </c>
      <c r="E39" s="35">
        <f t="shared" si="2"/>
        <v>0.3452054794520548</v>
      </c>
      <c r="F39" s="26">
        <f t="shared" si="3"/>
        <v>40.16373297569604</v>
      </c>
      <c r="G39" s="37" t="e">
        <f t="shared" si="4"/>
        <v>#NAME?</v>
      </c>
      <c r="H39" s="57" t="e">
        <f t="shared" si="14"/>
        <v>#NAME?</v>
      </c>
      <c r="I39" s="57" t="e">
        <f t="shared" si="5"/>
        <v>#NAME?</v>
      </c>
      <c r="J39" s="57" t="e">
        <f t="shared" si="6"/>
        <v>#NAME?</v>
      </c>
      <c r="K39" s="58" t="e">
        <f t="shared" si="15"/>
        <v>#NAME?</v>
      </c>
      <c r="L39" s="47"/>
      <c r="M39" s="26">
        <f t="shared" si="7"/>
        <v>63.54789769542271</v>
      </c>
      <c r="N39" s="37" t="e">
        <f t="shared" si="8"/>
        <v>#NAME?</v>
      </c>
      <c r="O39" s="57" t="e">
        <f t="shared" si="9"/>
        <v>#NAME?</v>
      </c>
      <c r="P39" s="57" t="e">
        <f t="shared" si="10"/>
        <v>#NAME?</v>
      </c>
      <c r="Q39" s="57" t="e">
        <f t="shared" si="11"/>
        <v>#NAME?</v>
      </c>
      <c r="R39" s="58" t="e">
        <f t="shared" si="16"/>
        <v>#NAME?</v>
      </c>
      <c r="T39" s="132" t="e">
        <f t="shared" si="12"/>
        <v>#NAME?</v>
      </c>
      <c r="U39" s="58" t="e">
        <f t="shared" si="13"/>
        <v>#NAME?</v>
      </c>
    </row>
    <row r="40" spans="1:21" ht="12.75">
      <c r="A40" s="52">
        <f ca="1" t="shared" si="0"/>
        <v>0.5101331941855956</v>
      </c>
      <c r="B40" s="48">
        <f t="shared" si="1"/>
        <v>0.025402882900908523</v>
      </c>
      <c r="D40" s="2">
        <v>19</v>
      </c>
      <c r="E40" s="35">
        <f t="shared" si="2"/>
        <v>0.3643835616438356</v>
      </c>
      <c r="F40" s="26">
        <f t="shared" si="3"/>
        <v>40.21513227395088</v>
      </c>
      <c r="G40" s="37" t="e">
        <f t="shared" si="4"/>
        <v>#NAME?</v>
      </c>
      <c r="H40" s="57" t="e">
        <f t="shared" si="14"/>
        <v>#NAME?</v>
      </c>
      <c r="I40" s="57" t="e">
        <f t="shared" si="5"/>
        <v>#NAME?</v>
      </c>
      <c r="J40" s="57" t="e">
        <f t="shared" si="6"/>
        <v>#NAME?</v>
      </c>
      <c r="K40" s="58" t="e">
        <f t="shared" si="15"/>
        <v>#NAME?</v>
      </c>
      <c r="L40" s="47"/>
      <c r="M40" s="26">
        <f t="shared" si="7"/>
        <v>63.539748775628006</v>
      </c>
      <c r="N40" s="37" t="e">
        <f t="shared" si="8"/>
        <v>#NAME?</v>
      </c>
      <c r="O40" s="57" t="e">
        <f t="shared" si="9"/>
        <v>#NAME?</v>
      </c>
      <c r="P40" s="57" t="e">
        <f t="shared" si="10"/>
        <v>#NAME?</v>
      </c>
      <c r="Q40" s="57" t="e">
        <f t="shared" si="11"/>
        <v>#NAME?</v>
      </c>
      <c r="R40" s="58" t="e">
        <f t="shared" si="16"/>
        <v>#NAME?</v>
      </c>
      <c r="T40" s="132" t="e">
        <f t="shared" si="12"/>
        <v>#NAME?</v>
      </c>
      <c r="U40" s="58" t="e">
        <f t="shared" si="13"/>
        <v>#NAME?</v>
      </c>
    </row>
    <row r="41" spans="1:21" ht="13.5" thickBot="1">
      <c r="A41" s="53">
        <f ca="1" t="shared" si="0"/>
        <v>0.9423371360554104</v>
      </c>
      <c r="B41" s="49">
        <f t="shared" si="1"/>
        <v>1.5746999131394057</v>
      </c>
      <c r="D41" s="2">
        <v>20</v>
      </c>
      <c r="E41" s="35">
        <f>D41*7/365-0.0001</f>
        <v>0.38346164383561643</v>
      </c>
      <c r="F41" s="27">
        <f t="shared" si="3"/>
        <v>42.027168699409174</v>
      </c>
      <c r="G41" s="63" t="e">
        <f t="shared" si="4"/>
        <v>#NAME?</v>
      </c>
      <c r="H41" s="64" t="e">
        <f t="shared" si="14"/>
        <v>#NAME?</v>
      </c>
      <c r="I41" s="64" t="e">
        <f>H41*F41</f>
        <v>#NAME?</v>
      </c>
      <c r="J41" s="64"/>
      <c r="K41" s="65" t="e">
        <f t="shared" si="15"/>
        <v>#NAME?</v>
      </c>
      <c r="L41" s="47"/>
      <c r="M41" s="27">
        <f t="shared" si="7"/>
        <v>60.869816418453276</v>
      </c>
      <c r="N41" s="63" t="e">
        <f t="shared" si="8"/>
        <v>#NAME?</v>
      </c>
      <c r="O41" s="64" t="e">
        <f t="shared" si="9"/>
        <v>#NAME?</v>
      </c>
      <c r="P41" s="64" t="e">
        <f t="shared" si="10"/>
        <v>#NAME?</v>
      </c>
      <c r="Q41" s="64"/>
      <c r="R41" s="65" t="e">
        <f t="shared" si="16"/>
        <v>#NAME?</v>
      </c>
      <c r="T41" s="134" t="e">
        <f t="shared" si="12"/>
        <v>#NAME?</v>
      </c>
      <c r="U41" s="135" t="e">
        <f t="shared" si="13"/>
        <v>#NAME?</v>
      </c>
    </row>
    <row r="42" spans="11:21" ht="13.5" thickBot="1">
      <c r="K42" s="129" t="e">
        <f>K41-(G41*F41*C12)</f>
        <v>#NAME?</v>
      </c>
      <c r="R42" s="129" t="e">
        <f>R41-(N41*M41*C12)</f>
        <v>#NAME?</v>
      </c>
      <c r="T42" s="133" t="e">
        <f>SUM(T21:T41)</f>
        <v>#NAME?</v>
      </c>
      <c r="U42" s="65" t="e">
        <f>SUM(U21:U41)</f>
        <v>#NAME?</v>
      </c>
    </row>
    <row r="43" spans="20:21" ht="13.5" thickBot="1">
      <c r="T43" s="57"/>
      <c r="U43" s="57"/>
    </row>
    <row r="44" spans="6:21" ht="13.5" thickBot="1">
      <c r="F44" s="191" t="s">
        <v>57</v>
      </c>
      <c r="G44" s="196"/>
      <c r="H44" s="196"/>
      <c r="I44" s="196"/>
      <c r="J44" s="196"/>
      <c r="K44" s="192"/>
      <c r="M44" s="191" t="s">
        <v>58</v>
      </c>
      <c r="N44" s="196"/>
      <c r="O44" s="196"/>
      <c r="P44" s="196"/>
      <c r="Q44" s="196"/>
      <c r="R44" s="192"/>
      <c r="T44" s="191" t="s">
        <v>80</v>
      </c>
      <c r="U44" s="192"/>
    </row>
    <row r="45" spans="1:21" ht="39" thickBot="1">
      <c r="A45" s="194" t="s">
        <v>56</v>
      </c>
      <c r="B45" s="195"/>
      <c r="D45" s="54" t="s">
        <v>60</v>
      </c>
      <c r="E45" s="54" t="s">
        <v>30</v>
      </c>
      <c r="F45" s="59" t="s">
        <v>5</v>
      </c>
      <c r="G45" s="60" t="s">
        <v>50</v>
      </c>
      <c r="H45" s="60" t="s">
        <v>51</v>
      </c>
      <c r="I45" s="60" t="s">
        <v>53</v>
      </c>
      <c r="J45" s="60" t="s">
        <v>55</v>
      </c>
      <c r="K45" s="61" t="s">
        <v>54</v>
      </c>
      <c r="L45" s="55"/>
      <c r="M45" s="59" t="s">
        <v>5</v>
      </c>
      <c r="N45" s="60" t="s">
        <v>50</v>
      </c>
      <c r="O45" s="60" t="s">
        <v>51</v>
      </c>
      <c r="P45" s="60" t="s">
        <v>53</v>
      </c>
      <c r="Q45" s="60" t="s">
        <v>55</v>
      </c>
      <c r="R45" s="61" t="s">
        <v>54</v>
      </c>
      <c r="T45" s="136" t="s">
        <v>304</v>
      </c>
      <c r="U45" s="137" t="s">
        <v>305</v>
      </c>
    </row>
    <row r="46" spans="1:21" ht="14.25" thickBot="1" thickTop="1">
      <c r="A46" s="51" t="s">
        <v>46</v>
      </c>
      <c r="B46" s="50" t="s">
        <v>47</v>
      </c>
      <c r="D46" s="2">
        <v>0</v>
      </c>
      <c r="E46" s="35">
        <f>D46/365</f>
        <v>0</v>
      </c>
      <c r="F46" s="26">
        <f>C8</f>
        <v>50</v>
      </c>
      <c r="G46" s="37">
        <f>Black_Scholes(F46,$C$11,$C$9,0,$C$10,$C$13-E46,$C$14,FALSE,,1)</f>
        <v>0.5858035150451049</v>
      </c>
      <c r="H46" s="57">
        <f>G46*$C$12</f>
        <v>58580.35150451049</v>
      </c>
      <c r="I46" s="57">
        <f>H46*F46</f>
        <v>2929017.575225524</v>
      </c>
      <c r="J46" s="57">
        <f>(EXP($C$9*(E47-E46))-1)*K46</f>
        <v>401.26276740125166</v>
      </c>
      <c r="K46" s="58">
        <f>I46</f>
        <v>2929017.575225524</v>
      </c>
      <c r="L46" s="47"/>
      <c r="M46" s="26">
        <f>C8</f>
        <v>50</v>
      </c>
      <c r="N46" s="37">
        <f>Black_Scholes(M46,$C$11,$C$9,0,$C$10,$C$13-E46,$C$14,FALSE,,1)</f>
        <v>0.5858035150451049</v>
      </c>
      <c r="O46" s="57">
        <f>N46*$C$12</f>
        <v>58580.35150451049</v>
      </c>
      <c r="P46" s="57">
        <f>O46*M46</f>
        <v>2929017.575225524</v>
      </c>
      <c r="Q46" s="57">
        <f>(EXP($C$9*(E47-E46))-1)*R46</f>
        <v>401.26276740125166</v>
      </c>
      <c r="R46" s="58">
        <f>P46</f>
        <v>2929017.575225524</v>
      </c>
      <c r="T46" s="130">
        <f aca="true" t="shared" si="17" ref="T46:T109">ABS(H46)</f>
        <v>58580.35150451049</v>
      </c>
      <c r="U46" s="131">
        <f aca="true" t="shared" si="18" ref="U46:U109">ABS(O46)</f>
        <v>58580.35150451049</v>
      </c>
    </row>
    <row r="47" spans="1:21" ht="13.5" thickTop="1">
      <c r="A47" s="52">
        <f aca="true" ca="1" t="shared" si="19" ref="A47:A65">0.000005+0.99999*RAND()</f>
        <v>0.7688893776572732</v>
      </c>
      <c r="B47" s="48">
        <f aca="true" t="shared" si="20" ref="B47:B65">NORMSINV(A47)</f>
        <v>0.7351941772642248</v>
      </c>
      <c r="D47" s="2">
        <v>1</v>
      </c>
      <c r="E47" s="35">
        <f aca="true" t="shared" si="21" ref="E47:E110">D47/365</f>
        <v>0.0027397260273972603</v>
      </c>
      <c r="F47" s="26">
        <f aca="true" t="shared" si="22" ref="F47:F65">F46*EXP(($C$9-0.5*$C$10*$C$10)*(E47-E46)+$C$10*B47*SQRT(E47-E46))</f>
        <v>50.390444387290124</v>
      </c>
      <c r="G47" s="37" t="e">
        <f aca="true" t="shared" si="23" ref="G47:G65">Black_Scholes(F47,$C$11,$C$9,0,$C$10,$C$13-E47,$C$14,FALSE,,1)</f>
        <v>#NAME?</v>
      </c>
      <c r="H47" s="57" t="e">
        <f>(G47-G46)*$C$12</f>
        <v>#NAME?</v>
      </c>
      <c r="I47" s="57" t="e">
        <f aca="true" t="shared" si="24" ref="I47:I65">H47*F47</f>
        <v>#NAME?</v>
      </c>
      <c r="J47" s="57" t="e">
        <f aca="true" t="shared" si="25" ref="J47:J65">(EXP($C$9*(E48-E47))-1)*K47</f>
        <v>#NAME?</v>
      </c>
      <c r="K47" s="58" t="e">
        <f>K46+J46+I47</f>
        <v>#NAME?</v>
      </c>
      <c r="L47" s="47"/>
      <c r="M47" s="26">
        <f aca="true" t="shared" si="26" ref="M47:M65">M46*EXP(($C$9-0.5*$C$10*$C$10)*(E47-E46)-$C$10*B47*SQRT(E47-E46))</f>
        <v>49.62073708788483</v>
      </c>
      <c r="N47" s="37" t="e">
        <f aca="true" t="shared" si="27" ref="N47:N65">Black_Scholes(M47,$C$11,$C$9,0,$C$10,$C$13-E47,$C$14,FALSE,,1)</f>
        <v>#NAME?</v>
      </c>
      <c r="O47" s="57" t="e">
        <f aca="true" t="shared" si="28" ref="O47:O110">(N47-N46)*$C$12</f>
        <v>#NAME?</v>
      </c>
      <c r="P47" s="57" t="e">
        <f aca="true" t="shared" si="29" ref="P47:P65">O47*M47</f>
        <v>#NAME?</v>
      </c>
      <c r="Q47" s="57" t="e">
        <f aca="true" t="shared" si="30" ref="Q47:Q65">(EXP($C$9*(E48-E47))-1)*R47</f>
        <v>#NAME?</v>
      </c>
      <c r="R47" s="58" t="e">
        <f>R46+Q46+P47</f>
        <v>#NAME?</v>
      </c>
      <c r="T47" s="132" t="e">
        <f t="shared" si="17"/>
        <v>#NAME?</v>
      </c>
      <c r="U47" s="58" t="e">
        <f t="shared" si="18"/>
        <v>#NAME?</v>
      </c>
    </row>
    <row r="48" spans="1:21" ht="12.75">
      <c r="A48" s="52">
        <f ca="1" t="shared" si="19"/>
        <v>0.022224394219667765</v>
      </c>
      <c r="B48" s="48">
        <f t="shared" si="20"/>
        <v>-2.0098337405821143</v>
      </c>
      <c r="D48" s="2">
        <v>2</v>
      </c>
      <c r="E48" s="35">
        <f t="shared" si="21"/>
        <v>0.005479452054794521</v>
      </c>
      <c r="F48" s="26">
        <f t="shared" si="22"/>
        <v>49.34536557691561</v>
      </c>
      <c r="G48" s="37" t="e">
        <f t="shared" si="23"/>
        <v>#NAME?</v>
      </c>
      <c r="H48" s="57" t="e">
        <f aca="true" t="shared" si="31" ref="H48:H111">(G48-G47)*$C$12</f>
        <v>#NAME?</v>
      </c>
      <c r="I48" s="57" t="e">
        <f t="shared" si="24"/>
        <v>#NAME?</v>
      </c>
      <c r="J48" s="57" t="e">
        <f t="shared" si="25"/>
        <v>#NAME?</v>
      </c>
      <c r="K48" s="58" t="e">
        <f aca="true" t="shared" si="32" ref="K48:K65">K47+J47+I48</f>
        <v>#NAME?</v>
      </c>
      <c r="L48" s="47"/>
      <c r="M48" s="26">
        <f t="shared" si="26"/>
        <v>50.679978224798475</v>
      </c>
      <c r="N48" s="37" t="e">
        <f t="shared" si="27"/>
        <v>#NAME?</v>
      </c>
      <c r="O48" s="57" t="e">
        <f t="shared" si="28"/>
        <v>#NAME?</v>
      </c>
      <c r="P48" s="57" t="e">
        <f t="shared" si="29"/>
        <v>#NAME?</v>
      </c>
      <c r="Q48" s="57" t="e">
        <f t="shared" si="30"/>
        <v>#NAME?</v>
      </c>
      <c r="R48" s="58" t="e">
        <f aca="true" t="shared" si="33" ref="R48:R65">R47+Q47+P48</f>
        <v>#NAME?</v>
      </c>
      <c r="T48" s="132" t="e">
        <f t="shared" si="17"/>
        <v>#NAME?</v>
      </c>
      <c r="U48" s="58" t="e">
        <f t="shared" si="18"/>
        <v>#NAME?</v>
      </c>
    </row>
    <row r="49" spans="1:21" ht="12.75">
      <c r="A49" s="52">
        <f ca="1" t="shared" si="19"/>
        <v>0.7034658083953231</v>
      </c>
      <c r="B49" s="48">
        <f t="shared" si="20"/>
        <v>0.534394847274144</v>
      </c>
      <c r="D49" s="2">
        <v>3</v>
      </c>
      <c r="E49" s="35">
        <f t="shared" si="21"/>
        <v>0.00821917808219178</v>
      </c>
      <c r="F49" s="26">
        <f t="shared" si="22"/>
        <v>49.62627070926923</v>
      </c>
      <c r="G49" s="37" t="e">
        <f t="shared" si="23"/>
        <v>#NAME?</v>
      </c>
      <c r="H49" s="57" t="e">
        <f t="shared" si="31"/>
        <v>#NAME?</v>
      </c>
      <c r="I49" s="57" t="e">
        <f t="shared" si="24"/>
        <v>#NAME?</v>
      </c>
      <c r="J49" s="57" t="e">
        <f t="shared" si="25"/>
        <v>#NAME?</v>
      </c>
      <c r="K49" s="58" t="e">
        <f t="shared" si="32"/>
        <v>#NAME?</v>
      </c>
      <c r="L49" s="47"/>
      <c r="M49" s="26">
        <f t="shared" si="26"/>
        <v>50.40139315348801</v>
      </c>
      <c r="N49" s="37" t="e">
        <f t="shared" si="27"/>
        <v>#NAME?</v>
      </c>
      <c r="O49" s="57" t="e">
        <f t="shared" si="28"/>
        <v>#NAME?</v>
      </c>
      <c r="P49" s="57" t="e">
        <f t="shared" si="29"/>
        <v>#NAME?</v>
      </c>
      <c r="Q49" s="57" t="e">
        <f t="shared" si="30"/>
        <v>#NAME?</v>
      </c>
      <c r="R49" s="58" t="e">
        <f t="shared" si="33"/>
        <v>#NAME?</v>
      </c>
      <c r="T49" s="132" t="e">
        <f t="shared" si="17"/>
        <v>#NAME?</v>
      </c>
      <c r="U49" s="58" t="e">
        <f t="shared" si="18"/>
        <v>#NAME?</v>
      </c>
    </row>
    <row r="50" spans="1:21" ht="12.75">
      <c r="A50" s="52">
        <f ca="1" t="shared" si="19"/>
        <v>0.9509950931000297</v>
      </c>
      <c r="B50" s="48">
        <f t="shared" si="20"/>
        <v>1.6545795537323524</v>
      </c>
      <c r="D50" s="2">
        <v>4</v>
      </c>
      <c r="E50" s="35">
        <f t="shared" si="21"/>
        <v>0.010958904109589041</v>
      </c>
      <c r="F50" s="26">
        <f t="shared" si="22"/>
        <v>50.49748166901202</v>
      </c>
      <c r="G50" s="37" t="e">
        <f t="shared" si="23"/>
        <v>#NAME?</v>
      </c>
      <c r="H50" s="57" t="e">
        <f t="shared" si="31"/>
        <v>#NAME?</v>
      </c>
      <c r="I50" s="57" t="e">
        <f t="shared" si="24"/>
        <v>#NAME?</v>
      </c>
      <c r="J50" s="57" t="e">
        <f t="shared" si="25"/>
        <v>#NAME?</v>
      </c>
      <c r="K50" s="58" t="e">
        <f t="shared" si="32"/>
        <v>#NAME?</v>
      </c>
      <c r="L50" s="47"/>
      <c r="M50" s="26">
        <f t="shared" si="26"/>
        <v>49.53998285639581</v>
      </c>
      <c r="N50" s="37" t="e">
        <f t="shared" si="27"/>
        <v>#NAME?</v>
      </c>
      <c r="O50" s="57" t="e">
        <f t="shared" si="28"/>
        <v>#NAME?</v>
      </c>
      <c r="P50" s="57" t="e">
        <f t="shared" si="29"/>
        <v>#NAME?</v>
      </c>
      <c r="Q50" s="57" t="e">
        <f t="shared" si="30"/>
        <v>#NAME?</v>
      </c>
      <c r="R50" s="58" t="e">
        <f t="shared" si="33"/>
        <v>#NAME?</v>
      </c>
      <c r="T50" s="132" t="e">
        <f t="shared" si="17"/>
        <v>#NAME?</v>
      </c>
      <c r="U50" s="58" t="e">
        <f t="shared" si="18"/>
        <v>#NAME?</v>
      </c>
    </row>
    <row r="51" spans="1:21" ht="12.75">
      <c r="A51" s="52">
        <f ca="1" t="shared" si="19"/>
        <v>0.6800572919447099</v>
      </c>
      <c r="B51" s="48">
        <f t="shared" si="20"/>
        <v>0.4678590125854343</v>
      </c>
      <c r="D51" s="2">
        <v>5</v>
      </c>
      <c r="E51" s="35">
        <f t="shared" si="21"/>
        <v>0.0136986301369863</v>
      </c>
      <c r="F51" s="26">
        <f t="shared" si="22"/>
        <v>50.74958450882041</v>
      </c>
      <c r="G51" s="37" t="e">
        <f t="shared" si="23"/>
        <v>#NAME?</v>
      </c>
      <c r="H51" s="57" t="e">
        <f t="shared" si="31"/>
        <v>#NAME?</v>
      </c>
      <c r="I51" s="57" t="e">
        <f t="shared" si="24"/>
        <v>#NAME?</v>
      </c>
      <c r="J51" s="57" t="e">
        <f t="shared" si="25"/>
        <v>#NAME?</v>
      </c>
      <c r="K51" s="58" t="e">
        <f t="shared" si="32"/>
        <v>#NAME?</v>
      </c>
      <c r="L51" s="47"/>
      <c r="M51" s="26">
        <f t="shared" si="26"/>
        <v>49.30199258583463</v>
      </c>
      <c r="N51" s="37" t="e">
        <f t="shared" si="27"/>
        <v>#NAME?</v>
      </c>
      <c r="O51" s="57" t="e">
        <f t="shared" si="28"/>
        <v>#NAME?</v>
      </c>
      <c r="P51" s="57" t="e">
        <f t="shared" si="29"/>
        <v>#NAME?</v>
      </c>
      <c r="Q51" s="57" t="e">
        <f t="shared" si="30"/>
        <v>#NAME?</v>
      </c>
      <c r="R51" s="58" t="e">
        <f t="shared" si="33"/>
        <v>#NAME?</v>
      </c>
      <c r="T51" s="132" t="e">
        <f t="shared" si="17"/>
        <v>#NAME?</v>
      </c>
      <c r="U51" s="58" t="e">
        <f t="shared" si="18"/>
        <v>#NAME?</v>
      </c>
    </row>
    <row r="52" spans="1:21" ht="12.75">
      <c r="A52" s="52">
        <f ca="1" t="shared" si="19"/>
        <v>0.7194299677975995</v>
      </c>
      <c r="B52" s="48">
        <f t="shared" si="20"/>
        <v>0.5811489587166936</v>
      </c>
      <c r="D52" s="2">
        <v>6</v>
      </c>
      <c r="E52" s="35">
        <f t="shared" si="21"/>
        <v>0.01643835616438356</v>
      </c>
      <c r="F52" s="26">
        <f t="shared" si="22"/>
        <v>51.06346996092005</v>
      </c>
      <c r="G52" s="37" t="e">
        <f t="shared" si="23"/>
        <v>#NAME?</v>
      </c>
      <c r="H52" s="57" t="e">
        <f t="shared" si="31"/>
        <v>#NAME?</v>
      </c>
      <c r="I52" s="57" t="e">
        <f t="shared" si="24"/>
        <v>#NAME?</v>
      </c>
      <c r="J52" s="57" t="e">
        <f t="shared" si="25"/>
        <v>#NAME?</v>
      </c>
      <c r="K52" s="58" t="e">
        <f t="shared" si="32"/>
        <v>#NAME?</v>
      </c>
      <c r="L52" s="47"/>
      <c r="M52" s="26">
        <f t="shared" si="26"/>
        <v>49.006990158085884</v>
      </c>
      <c r="N52" s="37" t="e">
        <f t="shared" si="27"/>
        <v>#NAME?</v>
      </c>
      <c r="O52" s="57" t="e">
        <f t="shared" si="28"/>
        <v>#NAME?</v>
      </c>
      <c r="P52" s="57" t="e">
        <f t="shared" si="29"/>
        <v>#NAME?</v>
      </c>
      <c r="Q52" s="57" t="e">
        <f t="shared" si="30"/>
        <v>#NAME?</v>
      </c>
      <c r="R52" s="58" t="e">
        <f t="shared" si="33"/>
        <v>#NAME?</v>
      </c>
      <c r="T52" s="132" t="e">
        <f t="shared" si="17"/>
        <v>#NAME?</v>
      </c>
      <c r="U52" s="58" t="e">
        <f t="shared" si="18"/>
        <v>#NAME?</v>
      </c>
    </row>
    <row r="53" spans="1:21" ht="12.75">
      <c r="A53" s="52">
        <f ca="1" t="shared" si="19"/>
        <v>0.9766701759268259</v>
      </c>
      <c r="B53" s="48">
        <f t="shared" si="20"/>
        <v>1.9893766212071071</v>
      </c>
      <c r="D53" s="2">
        <v>7</v>
      </c>
      <c r="E53" s="35">
        <f t="shared" si="21"/>
        <v>0.019178082191780823</v>
      </c>
      <c r="F53" s="26">
        <f t="shared" si="22"/>
        <v>52.14234101183133</v>
      </c>
      <c r="G53" s="37" t="e">
        <f t="shared" si="23"/>
        <v>#NAME?</v>
      </c>
      <c r="H53" s="57" t="e">
        <f t="shared" si="31"/>
        <v>#NAME?</v>
      </c>
      <c r="I53" s="57" t="e">
        <f t="shared" si="24"/>
        <v>#NAME?</v>
      </c>
      <c r="J53" s="57" t="e">
        <f t="shared" si="25"/>
        <v>#NAME?</v>
      </c>
      <c r="K53" s="58" t="e">
        <f t="shared" si="32"/>
        <v>#NAME?</v>
      </c>
      <c r="L53" s="47"/>
      <c r="M53" s="26">
        <f t="shared" si="26"/>
        <v>48.00088219074458</v>
      </c>
      <c r="N53" s="37" t="e">
        <f t="shared" si="27"/>
        <v>#NAME?</v>
      </c>
      <c r="O53" s="57" t="e">
        <f t="shared" si="28"/>
        <v>#NAME?</v>
      </c>
      <c r="P53" s="57" t="e">
        <f t="shared" si="29"/>
        <v>#NAME?</v>
      </c>
      <c r="Q53" s="57" t="e">
        <f t="shared" si="30"/>
        <v>#NAME?</v>
      </c>
      <c r="R53" s="58" t="e">
        <f t="shared" si="33"/>
        <v>#NAME?</v>
      </c>
      <c r="T53" s="132" t="e">
        <f t="shared" si="17"/>
        <v>#NAME?</v>
      </c>
      <c r="U53" s="58" t="e">
        <f t="shared" si="18"/>
        <v>#NAME?</v>
      </c>
    </row>
    <row r="54" spans="1:21" ht="12.75">
      <c r="A54" s="52">
        <f ca="1" t="shared" si="19"/>
        <v>0.3776097674805596</v>
      </c>
      <c r="B54" s="48">
        <f t="shared" si="20"/>
        <v>-0.31176446079408726</v>
      </c>
      <c r="D54" s="2">
        <v>8</v>
      </c>
      <c r="E54" s="35">
        <f t="shared" si="21"/>
        <v>0.021917808219178082</v>
      </c>
      <c r="F54" s="26">
        <f t="shared" si="22"/>
        <v>51.976713361861236</v>
      </c>
      <c r="G54" s="37" t="e">
        <f t="shared" si="23"/>
        <v>#NAME?</v>
      </c>
      <c r="H54" s="57" t="e">
        <f t="shared" si="31"/>
        <v>#NAME?</v>
      </c>
      <c r="I54" s="57" t="e">
        <f t="shared" si="24"/>
        <v>#NAME?</v>
      </c>
      <c r="J54" s="57" t="e">
        <f t="shared" si="25"/>
        <v>#NAME?</v>
      </c>
      <c r="K54" s="58" t="e">
        <f t="shared" si="32"/>
        <v>#NAME?</v>
      </c>
      <c r="L54" s="47"/>
      <c r="M54" s="26">
        <f t="shared" si="26"/>
        <v>48.16175691043336</v>
      </c>
      <c r="N54" s="37" t="e">
        <f t="shared" si="27"/>
        <v>#NAME?</v>
      </c>
      <c r="O54" s="57" t="e">
        <f t="shared" si="28"/>
        <v>#NAME?</v>
      </c>
      <c r="P54" s="57" t="e">
        <f t="shared" si="29"/>
        <v>#NAME?</v>
      </c>
      <c r="Q54" s="57" t="e">
        <f t="shared" si="30"/>
        <v>#NAME?</v>
      </c>
      <c r="R54" s="58" t="e">
        <f t="shared" si="33"/>
        <v>#NAME?</v>
      </c>
      <c r="T54" s="132" t="e">
        <f t="shared" si="17"/>
        <v>#NAME?</v>
      </c>
      <c r="U54" s="58" t="e">
        <f t="shared" si="18"/>
        <v>#NAME?</v>
      </c>
    </row>
    <row r="55" spans="1:21" ht="12.75">
      <c r="A55" s="52">
        <f ca="1" t="shared" si="19"/>
        <v>0.5936130078968175</v>
      </c>
      <c r="B55" s="48">
        <f t="shared" si="20"/>
        <v>0.23684893832460524</v>
      </c>
      <c r="D55" s="2">
        <v>9</v>
      </c>
      <c r="E55" s="35">
        <f t="shared" si="21"/>
        <v>0.024657534246575342</v>
      </c>
      <c r="F55" s="26">
        <f t="shared" si="22"/>
        <v>52.11002966012399</v>
      </c>
      <c r="G55" s="37" t="e">
        <f t="shared" si="23"/>
        <v>#NAME?</v>
      </c>
      <c r="H55" s="57" t="e">
        <f t="shared" si="31"/>
        <v>#NAME?</v>
      </c>
      <c r="I55" s="57" t="e">
        <f t="shared" si="24"/>
        <v>#NAME?</v>
      </c>
      <c r="J55" s="57" t="e">
        <f t="shared" si="25"/>
        <v>#NAME?</v>
      </c>
      <c r="K55" s="58" t="e">
        <f t="shared" si="32"/>
        <v>#NAME?</v>
      </c>
      <c r="L55" s="47"/>
      <c r="M55" s="26">
        <f t="shared" si="26"/>
        <v>48.04643911718228</v>
      </c>
      <c r="N55" s="37" t="e">
        <f t="shared" si="27"/>
        <v>#NAME?</v>
      </c>
      <c r="O55" s="57" t="e">
        <f t="shared" si="28"/>
        <v>#NAME?</v>
      </c>
      <c r="P55" s="57" t="e">
        <f t="shared" si="29"/>
        <v>#NAME?</v>
      </c>
      <c r="Q55" s="57" t="e">
        <f t="shared" si="30"/>
        <v>#NAME?</v>
      </c>
      <c r="R55" s="58" t="e">
        <f t="shared" si="33"/>
        <v>#NAME?</v>
      </c>
      <c r="T55" s="132" t="e">
        <f t="shared" si="17"/>
        <v>#NAME?</v>
      </c>
      <c r="U55" s="58" t="e">
        <f t="shared" si="18"/>
        <v>#NAME?</v>
      </c>
    </row>
    <row r="56" spans="1:21" ht="12.75">
      <c r="A56" s="52">
        <f ca="1" t="shared" si="19"/>
        <v>0.4570454215340114</v>
      </c>
      <c r="B56" s="48">
        <f t="shared" si="20"/>
        <v>-0.10788004934102416</v>
      </c>
      <c r="D56" s="2">
        <v>10</v>
      </c>
      <c r="E56" s="35">
        <f t="shared" si="21"/>
        <v>0.0273972602739726</v>
      </c>
      <c r="F56" s="26">
        <f t="shared" si="22"/>
        <v>52.055491296685894</v>
      </c>
      <c r="G56" s="37" t="e">
        <f t="shared" si="23"/>
        <v>#NAME?</v>
      </c>
      <c r="H56" s="57" t="e">
        <f t="shared" si="31"/>
        <v>#NAME?</v>
      </c>
      <c r="I56" s="57" t="e">
        <f t="shared" si="24"/>
        <v>#NAME?</v>
      </c>
      <c r="J56" s="57" t="e">
        <f t="shared" si="25"/>
        <v>#NAME?</v>
      </c>
      <c r="K56" s="58" t="e">
        <f t="shared" si="32"/>
        <v>#NAME?</v>
      </c>
      <c r="L56" s="47"/>
      <c r="M56" s="26">
        <f t="shared" si="26"/>
        <v>48.1046841795251</v>
      </c>
      <c r="N56" s="37" t="e">
        <f t="shared" si="27"/>
        <v>#NAME?</v>
      </c>
      <c r="O56" s="57" t="e">
        <f t="shared" si="28"/>
        <v>#NAME?</v>
      </c>
      <c r="P56" s="57" t="e">
        <f t="shared" si="29"/>
        <v>#NAME?</v>
      </c>
      <c r="Q56" s="57" t="e">
        <f t="shared" si="30"/>
        <v>#NAME?</v>
      </c>
      <c r="R56" s="58" t="e">
        <f t="shared" si="33"/>
        <v>#NAME?</v>
      </c>
      <c r="T56" s="132" t="e">
        <f t="shared" si="17"/>
        <v>#NAME?</v>
      </c>
      <c r="U56" s="58" t="e">
        <f t="shared" si="18"/>
        <v>#NAME?</v>
      </c>
    </row>
    <row r="57" spans="1:21" ht="12.75">
      <c r="A57" s="52">
        <f ca="1" t="shared" si="19"/>
        <v>0.6365435428329923</v>
      </c>
      <c r="B57" s="48">
        <f t="shared" si="20"/>
        <v>0.34923497050199026</v>
      </c>
      <c r="D57" s="2">
        <v>11</v>
      </c>
      <c r="E57" s="35">
        <f t="shared" si="21"/>
        <v>0.030136986301369864</v>
      </c>
      <c r="F57" s="26">
        <f t="shared" si="22"/>
        <v>52.250446719139475</v>
      </c>
      <c r="G57" s="37" t="e">
        <f t="shared" si="23"/>
        <v>#NAME?</v>
      </c>
      <c r="H57" s="57" t="e">
        <f t="shared" si="31"/>
        <v>#NAME?</v>
      </c>
      <c r="I57" s="57" t="e">
        <f t="shared" si="24"/>
        <v>#NAME?</v>
      </c>
      <c r="J57" s="57" t="e">
        <f t="shared" si="25"/>
        <v>#NAME?</v>
      </c>
      <c r="K57" s="58" t="e">
        <f t="shared" si="32"/>
        <v>#NAME?</v>
      </c>
      <c r="L57" s="47"/>
      <c r="M57" s="26">
        <f t="shared" si="26"/>
        <v>47.933076073837476</v>
      </c>
      <c r="N57" s="37" t="e">
        <f t="shared" si="27"/>
        <v>#NAME?</v>
      </c>
      <c r="O57" s="57" t="e">
        <f t="shared" si="28"/>
        <v>#NAME?</v>
      </c>
      <c r="P57" s="57" t="e">
        <f t="shared" si="29"/>
        <v>#NAME?</v>
      </c>
      <c r="Q57" s="57" t="e">
        <f t="shared" si="30"/>
        <v>#NAME?</v>
      </c>
      <c r="R57" s="58" t="e">
        <f t="shared" si="33"/>
        <v>#NAME?</v>
      </c>
      <c r="T57" s="132" t="e">
        <f t="shared" si="17"/>
        <v>#NAME?</v>
      </c>
      <c r="U57" s="58" t="e">
        <f t="shared" si="18"/>
        <v>#NAME?</v>
      </c>
    </row>
    <row r="58" spans="1:21" ht="12.75">
      <c r="A58" s="52">
        <f ca="1" t="shared" si="19"/>
        <v>0.061300266095806</v>
      </c>
      <c r="B58" s="48">
        <f t="shared" si="20"/>
        <v>-1.5439496438265738</v>
      </c>
      <c r="D58" s="2">
        <v>12</v>
      </c>
      <c r="E58" s="35">
        <f t="shared" si="21"/>
        <v>0.03287671232876712</v>
      </c>
      <c r="F58" s="26">
        <f t="shared" si="22"/>
        <v>51.41694712186826</v>
      </c>
      <c r="G58" s="37" t="e">
        <f t="shared" si="23"/>
        <v>#NAME?</v>
      </c>
      <c r="H58" s="57" t="e">
        <f t="shared" si="31"/>
        <v>#NAME?</v>
      </c>
      <c r="I58" s="57" t="e">
        <f t="shared" si="24"/>
        <v>#NAME?</v>
      </c>
      <c r="J58" s="57" t="e">
        <f t="shared" si="25"/>
        <v>#NAME?</v>
      </c>
      <c r="K58" s="58" t="e">
        <f t="shared" si="32"/>
        <v>#NAME?</v>
      </c>
      <c r="L58" s="47"/>
      <c r="M58" s="26">
        <f t="shared" si="26"/>
        <v>48.71810782666418</v>
      </c>
      <c r="N58" s="37" t="e">
        <f t="shared" si="27"/>
        <v>#NAME?</v>
      </c>
      <c r="O58" s="57" t="e">
        <f t="shared" si="28"/>
        <v>#NAME?</v>
      </c>
      <c r="P58" s="57" t="e">
        <f t="shared" si="29"/>
        <v>#NAME?</v>
      </c>
      <c r="Q58" s="57" t="e">
        <f t="shared" si="30"/>
        <v>#NAME?</v>
      </c>
      <c r="R58" s="58" t="e">
        <f t="shared" si="33"/>
        <v>#NAME?</v>
      </c>
      <c r="T58" s="132" t="e">
        <f t="shared" si="17"/>
        <v>#NAME?</v>
      </c>
      <c r="U58" s="58" t="e">
        <f t="shared" si="18"/>
        <v>#NAME?</v>
      </c>
    </row>
    <row r="59" spans="1:21" ht="12.75">
      <c r="A59" s="52">
        <f ca="1" t="shared" si="19"/>
        <v>0.7945976029994983</v>
      </c>
      <c r="B59" s="48">
        <f t="shared" si="20"/>
        <v>0.822478191002668</v>
      </c>
      <c r="D59" s="2">
        <v>13</v>
      </c>
      <c r="E59" s="35">
        <f t="shared" si="21"/>
        <v>0.03561643835616438</v>
      </c>
      <c r="F59" s="26">
        <f t="shared" si="22"/>
        <v>51.865826048885296</v>
      </c>
      <c r="G59" s="37" t="e">
        <f t="shared" si="23"/>
        <v>#NAME?</v>
      </c>
      <c r="H59" s="57" t="e">
        <f t="shared" si="31"/>
        <v>#NAME?</v>
      </c>
      <c r="I59" s="57" t="e">
        <f t="shared" si="24"/>
        <v>#NAME?</v>
      </c>
      <c r="J59" s="57" t="e">
        <f t="shared" si="25"/>
        <v>#NAME?</v>
      </c>
      <c r="K59" s="58" t="e">
        <f t="shared" si="32"/>
        <v>#NAME?</v>
      </c>
      <c r="L59" s="47"/>
      <c r="M59" s="26">
        <f t="shared" si="26"/>
        <v>48.30441099788012</v>
      </c>
      <c r="N59" s="37" t="e">
        <f t="shared" si="27"/>
        <v>#NAME?</v>
      </c>
      <c r="O59" s="57" t="e">
        <f t="shared" si="28"/>
        <v>#NAME?</v>
      </c>
      <c r="P59" s="57" t="e">
        <f t="shared" si="29"/>
        <v>#NAME?</v>
      </c>
      <c r="Q59" s="57" t="e">
        <f t="shared" si="30"/>
        <v>#NAME?</v>
      </c>
      <c r="R59" s="58" t="e">
        <f t="shared" si="33"/>
        <v>#NAME?</v>
      </c>
      <c r="T59" s="132" t="e">
        <f t="shared" si="17"/>
        <v>#NAME?</v>
      </c>
      <c r="U59" s="58" t="e">
        <f t="shared" si="18"/>
        <v>#NAME?</v>
      </c>
    </row>
    <row r="60" spans="1:21" ht="12.75">
      <c r="A60" s="52">
        <f ca="1" t="shared" si="19"/>
        <v>0.6941134896362643</v>
      </c>
      <c r="B60" s="48">
        <f t="shared" si="20"/>
        <v>0.5075442153970173</v>
      </c>
      <c r="D60" s="2">
        <v>14</v>
      </c>
      <c r="E60" s="35">
        <f t="shared" si="21"/>
        <v>0.038356164383561646</v>
      </c>
      <c r="F60" s="26">
        <f t="shared" si="22"/>
        <v>52.14641959139033</v>
      </c>
      <c r="G60" s="37" t="e">
        <f t="shared" si="23"/>
        <v>#NAME?</v>
      </c>
      <c r="H60" s="57" t="e">
        <f t="shared" si="31"/>
        <v>#NAME?</v>
      </c>
      <c r="I60" s="57" t="e">
        <f t="shared" si="24"/>
        <v>#NAME?</v>
      </c>
      <c r="J60" s="57" t="e">
        <f t="shared" si="25"/>
        <v>#NAME?</v>
      </c>
      <c r="K60" s="58" t="e">
        <f t="shared" si="32"/>
        <v>#NAME?</v>
      </c>
      <c r="L60" s="47"/>
      <c r="M60" s="26">
        <f t="shared" si="26"/>
        <v>48.052389210090226</v>
      </c>
      <c r="N60" s="37" t="e">
        <f t="shared" si="27"/>
        <v>#NAME?</v>
      </c>
      <c r="O60" s="57" t="e">
        <f t="shared" si="28"/>
        <v>#NAME?</v>
      </c>
      <c r="P60" s="57" t="e">
        <f t="shared" si="29"/>
        <v>#NAME?</v>
      </c>
      <c r="Q60" s="57" t="e">
        <f t="shared" si="30"/>
        <v>#NAME?</v>
      </c>
      <c r="R60" s="58" t="e">
        <f t="shared" si="33"/>
        <v>#NAME?</v>
      </c>
      <c r="T60" s="132" t="e">
        <f t="shared" si="17"/>
        <v>#NAME?</v>
      </c>
      <c r="U60" s="58" t="e">
        <f t="shared" si="18"/>
        <v>#NAME?</v>
      </c>
    </row>
    <row r="61" spans="1:21" ht="12.75">
      <c r="A61" s="52">
        <f ca="1" t="shared" si="19"/>
        <v>0.740840861372668</v>
      </c>
      <c r="B61" s="48">
        <f t="shared" si="20"/>
        <v>0.6459399014588958</v>
      </c>
      <c r="D61" s="2">
        <v>15</v>
      </c>
      <c r="E61" s="35">
        <f t="shared" si="21"/>
        <v>0.0410958904109589</v>
      </c>
      <c r="F61" s="26">
        <f t="shared" si="22"/>
        <v>52.50454424212464</v>
      </c>
      <c r="G61" s="37" t="e">
        <f t="shared" si="23"/>
        <v>#NAME?</v>
      </c>
      <c r="H61" s="57" t="e">
        <f t="shared" si="31"/>
        <v>#NAME?</v>
      </c>
      <c r="I61" s="57" t="e">
        <f t="shared" si="24"/>
        <v>#NAME?</v>
      </c>
      <c r="J61" s="57" t="e">
        <f t="shared" si="25"/>
        <v>#NAME?</v>
      </c>
      <c r="K61" s="58" t="e">
        <f t="shared" si="32"/>
        <v>#NAME?</v>
      </c>
      <c r="L61" s="47"/>
      <c r="M61" s="26">
        <f t="shared" si="26"/>
        <v>47.73247774858762</v>
      </c>
      <c r="N61" s="37" t="e">
        <f t="shared" si="27"/>
        <v>#NAME?</v>
      </c>
      <c r="O61" s="57" t="e">
        <f t="shared" si="28"/>
        <v>#NAME?</v>
      </c>
      <c r="P61" s="57" t="e">
        <f t="shared" si="29"/>
        <v>#NAME?</v>
      </c>
      <c r="Q61" s="57" t="e">
        <f t="shared" si="30"/>
        <v>#NAME?</v>
      </c>
      <c r="R61" s="58" t="e">
        <f t="shared" si="33"/>
        <v>#NAME?</v>
      </c>
      <c r="T61" s="132" t="e">
        <f t="shared" si="17"/>
        <v>#NAME?</v>
      </c>
      <c r="U61" s="58" t="e">
        <f t="shared" si="18"/>
        <v>#NAME?</v>
      </c>
    </row>
    <row r="62" spans="1:21" ht="12.75">
      <c r="A62" s="52">
        <f ca="1" t="shared" si="19"/>
        <v>0.2715067030051482</v>
      </c>
      <c r="B62" s="48">
        <f t="shared" si="20"/>
        <v>-0.6082624730792989</v>
      </c>
      <c r="D62" s="2">
        <v>16</v>
      </c>
      <c r="E62" s="35">
        <f t="shared" si="21"/>
        <v>0.043835616438356165</v>
      </c>
      <c r="F62" s="26">
        <f t="shared" si="22"/>
        <v>52.175567618547795</v>
      </c>
      <c r="G62" s="37" t="e">
        <f t="shared" si="23"/>
        <v>#NAME?</v>
      </c>
      <c r="H62" s="57" t="e">
        <f t="shared" si="31"/>
        <v>#NAME?</v>
      </c>
      <c r="I62" s="57" t="e">
        <f t="shared" si="24"/>
        <v>#NAME?</v>
      </c>
      <c r="J62" s="57" t="e">
        <f t="shared" si="25"/>
        <v>#NAME?</v>
      </c>
      <c r="K62" s="58" t="e">
        <f t="shared" si="32"/>
        <v>#NAME?</v>
      </c>
      <c r="L62" s="47"/>
      <c r="M62" s="26">
        <f t="shared" si="26"/>
        <v>48.041336424030426</v>
      </c>
      <c r="N62" s="37" t="e">
        <f t="shared" si="27"/>
        <v>#NAME?</v>
      </c>
      <c r="O62" s="57" t="e">
        <f t="shared" si="28"/>
        <v>#NAME?</v>
      </c>
      <c r="P62" s="57" t="e">
        <f t="shared" si="29"/>
        <v>#NAME?</v>
      </c>
      <c r="Q62" s="57" t="e">
        <f t="shared" si="30"/>
        <v>#NAME?</v>
      </c>
      <c r="R62" s="58" t="e">
        <f t="shared" si="33"/>
        <v>#NAME?</v>
      </c>
      <c r="T62" s="132" t="e">
        <f t="shared" si="17"/>
        <v>#NAME?</v>
      </c>
      <c r="U62" s="58" t="e">
        <f t="shared" si="18"/>
        <v>#NAME?</v>
      </c>
    </row>
    <row r="63" spans="1:21" ht="12.75">
      <c r="A63" s="52">
        <f ca="1" t="shared" si="19"/>
        <v>0.873617691242459</v>
      </c>
      <c r="B63" s="48">
        <f t="shared" si="20"/>
        <v>1.143660122027022</v>
      </c>
      <c r="D63" s="2">
        <v>17</v>
      </c>
      <c r="E63" s="35">
        <f t="shared" si="21"/>
        <v>0.04657534246575343</v>
      </c>
      <c r="F63" s="26">
        <f t="shared" si="22"/>
        <v>52.80832797940914</v>
      </c>
      <c r="G63" s="37" t="e">
        <f t="shared" si="23"/>
        <v>#NAME?</v>
      </c>
      <c r="H63" s="57" t="e">
        <f t="shared" si="31"/>
        <v>#NAME?</v>
      </c>
      <c r="I63" s="57" t="e">
        <f t="shared" si="24"/>
        <v>#NAME?</v>
      </c>
      <c r="J63" s="57" t="e">
        <f t="shared" si="25"/>
        <v>#NAME?</v>
      </c>
      <c r="K63" s="58" t="e">
        <f t="shared" si="32"/>
        <v>#NAME?</v>
      </c>
      <c r="L63" s="47"/>
      <c r="M63" s="26">
        <f t="shared" si="26"/>
        <v>47.4734983680638</v>
      </c>
      <c r="N63" s="37" t="e">
        <f t="shared" si="27"/>
        <v>#NAME?</v>
      </c>
      <c r="O63" s="57" t="e">
        <f t="shared" si="28"/>
        <v>#NAME?</v>
      </c>
      <c r="P63" s="57" t="e">
        <f t="shared" si="29"/>
        <v>#NAME?</v>
      </c>
      <c r="Q63" s="57" t="e">
        <f t="shared" si="30"/>
        <v>#NAME?</v>
      </c>
      <c r="R63" s="58" t="e">
        <f t="shared" si="33"/>
        <v>#NAME?</v>
      </c>
      <c r="T63" s="132" t="e">
        <f t="shared" si="17"/>
        <v>#NAME?</v>
      </c>
      <c r="U63" s="58" t="e">
        <f t="shared" si="18"/>
        <v>#NAME?</v>
      </c>
    </row>
    <row r="64" spans="1:21" ht="12.75">
      <c r="A64" s="52">
        <f ca="1" t="shared" si="19"/>
        <v>0.7592815272916731</v>
      </c>
      <c r="B64" s="48">
        <f t="shared" si="20"/>
        <v>0.7039933010790931</v>
      </c>
      <c r="D64" s="2">
        <v>18</v>
      </c>
      <c r="E64" s="35">
        <f t="shared" si="21"/>
        <v>0.049315068493150684</v>
      </c>
      <c r="F64" s="26">
        <f t="shared" si="22"/>
        <v>53.2033218741034</v>
      </c>
      <c r="G64" s="37" t="e">
        <f t="shared" si="23"/>
        <v>#NAME?</v>
      </c>
      <c r="H64" s="57" t="e">
        <f t="shared" si="31"/>
        <v>#NAME?</v>
      </c>
      <c r="I64" s="57" t="e">
        <f t="shared" si="24"/>
        <v>#NAME?</v>
      </c>
      <c r="J64" s="57" t="e">
        <f t="shared" si="25"/>
        <v>#NAME?</v>
      </c>
      <c r="K64" s="58" t="e">
        <f t="shared" si="32"/>
        <v>#NAME?</v>
      </c>
      <c r="L64" s="47"/>
      <c r="M64" s="26">
        <f t="shared" si="26"/>
        <v>47.128790583813604</v>
      </c>
      <c r="N64" s="37" t="e">
        <f t="shared" si="27"/>
        <v>#NAME?</v>
      </c>
      <c r="O64" s="57" t="e">
        <f t="shared" si="28"/>
        <v>#NAME?</v>
      </c>
      <c r="P64" s="57" t="e">
        <f t="shared" si="29"/>
        <v>#NAME?</v>
      </c>
      <c r="Q64" s="57" t="e">
        <f t="shared" si="30"/>
        <v>#NAME?</v>
      </c>
      <c r="R64" s="58" t="e">
        <f t="shared" si="33"/>
        <v>#NAME?</v>
      </c>
      <c r="T64" s="132" t="e">
        <f t="shared" si="17"/>
        <v>#NAME?</v>
      </c>
      <c r="U64" s="58" t="e">
        <f t="shared" si="18"/>
        <v>#NAME?</v>
      </c>
    </row>
    <row r="65" spans="1:21" ht="12.75">
      <c r="A65" s="52">
        <f ca="1" t="shared" si="19"/>
        <v>0.1177646596824079</v>
      </c>
      <c r="B65" s="48">
        <f t="shared" si="20"/>
        <v>-1.1862354774428399</v>
      </c>
      <c r="D65" s="2">
        <v>19</v>
      </c>
      <c r="E65" s="35">
        <f t="shared" si="21"/>
        <v>0.052054794520547946</v>
      </c>
      <c r="F65" s="26">
        <f t="shared" si="22"/>
        <v>52.55104310495422</v>
      </c>
      <c r="G65" s="37" t="e">
        <f t="shared" si="23"/>
        <v>#NAME?</v>
      </c>
      <c r="H65" s="57" t="e">
        <f t="shared" si="31"/>
        <v>#NAME?</v>
      </c>
      <c r="I65" s="57" t="e">
        <f t="shared" si="24"/>
        <v>#NAME?</v>
      </c>
      <c r="J65" s="57" t="e">
        <f t="shared" si="25"/>
        <v>#NAME?</v>
      </c>
      <c r="K65" s="58" t="e">
        <f t="shared" si="32"/>
        <v>#NAME?</v>
      </c>
      <c r="L65" s="47"/>
      <c r="M65" s="26">
        <f t="shared" si="26"/>
        <v>47.72161078765893</v>
      </c>
      <c r="N65" s="37" t="e">
        <f t="shared" si="27"/>
        <v>#NAME?</v>
      </c>
      <c r="O65" s="57" t="e">
        <f t="shared" si="28"/>
        <v>#NAME?</v>
      </c>
      <c r="P65" s="57" t="e">
        <f t="shared" si="29"/>
        <v>#NAME?</v>
      </c>
      <c r="Q65" s="57" t="e">
        <f t="shared" si="30"/>
        <v>#NAME?</v>
      </c>
      <c r="R65" s="58" t="e">
        <f t="shared" si="33"/>
        <v>#NAME?</v>
      </c>
      <c r="T65" s="132" t="e">
        <f t="shared" si="17"/>
        <v>#NAME?</v>
      </c>
      <c r="U65" s="58" t="e">
        <f t="shared" si="18"/>
        <v>#NAME?</v>
      </c>
    </row>
    <row r="66" spans="1:21" ht="12.75">
      <c r="A66" s="52">
        <f aca="true" ca="1" t="shared" si="34" ref="A66:A129">0.000005+0.99999*RAND()</f>
        <v>0.5867263832582713</v>
      </c>
      <c r="B66" s="48">
        <f aca="true" t="shared" si="35" ref="B66:B129">NORMSINV(A66)</f>
        <v>0.21913198794490152</v>
      </c>
      <c r="D66" s="2">
        <v>20</v>
      </c>
      <c r="E66" s="35">
        <f t="shared" si="21"/>
        <v>0.0547945205479452</v>
      </c>
      <c r="F66" s="26">
        <f aca="true" t="shared" si="36" ref="F66:F129">F65*EXP(($C$9-0.5*$C$10*$C$10)*(E66-E65)+$C$10*B66*SQRT(E66-E65))</f>
        <v>52.67606180552277</v>
      </c>
      <c r="G66" s="37" t="e">
        <f aca="true" t="shared" si="37" ref="G66:G129">Black_Scholes(F66,$C$11,$C$9,0,$C$10,$C$13-E66,$C$14,FALSE,,1)</f>
        <v>#NAME?</v>
      </c>
      <c r="H66" s="57" t="e">
        <f t="shared" si="31"/>
        <v>#NAME?</v>
      </c>
      <c r="I66" s="57" t="e">
        <f aca="true" t="shared" si="38" ref="I66:I129">H66*F66</f>
        <v>#NAME?</v>
      </c>
      <c r="J66" s="57" t="e">
        <f aca="true" t="shared" si="39" ref="J66:J129">(EXP($C$9*(E67-E66))-1)*K66</f>
        <v>#NAME?</v>
      </c>
      <c r="K66" s="58" t="e">
        <f aca="true" t="shared" si="40" ref="K66:K129">K65+J65+I66</f>
        <v>#NAME?</v>
      </c>
      <c r="M66" s="26">
        <f aca="true" t="shared" si="41" ref="M66:M129">M65*EXP(($C$9-0.5*$C$10*$C$10)*(E66-E65)-$C$10*B66*SQRT(E66-E65))</f>
        <v>47.616177404052166</v>
      </c>
      <c r="N66" s="37" t="e">
        <f aca="true" t="shared" si="42" ref="N66:N129">Black_Scholes(M66,$C$11,$C$9,0,$C$10,$C$13-E66,$C$14,FALSE,,1)</f>
        <v>#NAME?</v>
      </c>
      <c r="O66" s="57" t="e">
        <f t="shared" si="28"/>
        <v>#NAME?</v>
      </c>
      <c r="P66" s="57" t="e">
        <f aca="true" t="shared" si="43" ref="P66:P129">O66*M66</f>
        <v>#NAME?</v>
      </c>
      <c r="Q66" s="57" t="e">
        <f aca="true" t="shared" si="44" ref="Q66:Q129">(EXP($C$9*(E67-E66))-1)*R66</f>
        <v>#NAME?</v>
      </c>
      <c r="R66" s="58" t="e">
        <f aca="true" t="shared" si="45" ref="R66:R129">R65+Q65+P66</f>
        <v>#NAME?</v>
      </c>
      <c r="T66" s="132" t="e">
        <f t="shared" si="17"/>
        <v>#NAME?</v>
      </c>
      <c r="U66" s="58" t="e">
        <f t="shared" si="18"/>
        <v>#NAME?</v>
      </c>
    </row>
    <row r="67" spans="1:21" ht="12.75">
      <c r="A67" s="52">
        <f ca="1" t="shared" si="34"/>
        <v>0.2502708222405392</v>
      </c>
      <c r="B67" s="48">
        <f t="shared" si="35"/>
        <v>-0.6736377538933476</v>
      </c>
      <c r="D67" s="2">
        <v>21</v>
      </c>
      <c r="E67" s="35">
        <f t="shared" si="21"/>
        <v>0.057534246575342465</v>
      </c>
      <c r="F67" s="26">
        <f t="shared" si="36"/>
        <v>52.310198216005816</v>
      </c>
      <c r="G67" s="37" t="e">
        <f t="shared" si="37"/>
        <v>#NAME?</v>
      </c>
      <c r="H67" s="57" t="e">
        <f t="shared" si="31"/>
        <v>#NAME?</v>
      </c>
      <c r="I67" s="57" t="e">
        <f t="shared" si="38"/>
        <v>#NAME?</v>
      </c>
      <c r="J67" s="57" t="e">
        <f t="shared" si="39"/>
        <v>#NAME?</v>
      </c>
      <c r="K67" s="58" t="e">
        <f t="shared" si="40"/>
        <v>#NAME?</v>
      </c>
      <c r="M67" s="26">
        <f t="shared" si="41"/>
        <v>47.95709317780456</v>
      </c>
      <c r="N67" s="37" t="e">
        <f t="shared" si="42"/>
        <v>#NAME?</v>
      </c>
      <c r="O67" s="57" t="e">
        <f t="shared" si="28"/>
        <v>#NAME?</v>
      </c>
      <c r="P67" s="57" t="e">
        <f t="shared" si="43"/>
        <v>#NAME?</v>
      </c>
      <c r="Q67" s="57" t="e">
        <f t="shared" si="44"/>
        <v>#NAME?</v>
      </c>
      <c r="R67" s="58" t="e">
        <f t="shared" si="45"/>
        <v>#NAME?</v>
      </c>
      <c r="T67" s="132" t="e">
        <f t="shared" si="17"/>
        <v>#NAME?</v>
      </c>
      <c r="U67" s="58" t="e">
        <f t="shared" si="18"/>
        <v>#NAME?</v>
      </c>
    </row>
    <row r="68" spans="1:21" ht="12.75">
      <c r="A68" s="52">
        <f ca="1" t="shared" si="34"/>
        <v>0.9961314779008242</v>
      </c>
      <c r="B68" s="48">
        <f t="shared" si="35"/>
        <v>2.663334581279294</v>
      </c>
      <c r="D68" s="2">
        <v>22</v>
      </c>
      <c r="E68" s="35">
        <f t="shared" si="21"/>
        <v>0.06027397260273973</v>
      </c>
      <c r="F68" s="26">
        <f t="shared" si="36"/>
        <v>53.79360527731171</v>
      </c>
      <c r="G68" s="37" t="e">
        <f t="shared" si="37"/>
        <v>#NAME?</v>
      </c>
      <c r="H68" s="57" t="e">
        <f t="shared" si="31"/>
        <v>#NAME?</v>
      </c>
      <c r="I68" s="57" t="e">
        <f t="shared" si="38"/>
        <v>#NAME?</v>
      </c>
      <c r="J68" s="57" t="e">
        <f t="shared" si="39"/>
        <v>#NAME?</v>
      </c>
      <c r="K68" s="58" t="e">
        <f t="shared" si="40"/>
        <v>#NAME?</v>
      </c>
      <c r="M68" s="26">
        <f t="shared" si="41"/>
        <v>46.642299785714</v>
      </c>
      <c r="N68" s="37" t="e">
        <f t="shared" si="42"/>
        <v>#NAME?</v>
      </c>
      <c r="O68" s="57" t="e">
        <f t="shared" si="28"/>
        <v>#NAME?</v>
      </c>
      <c r="P68" s="57" t="e">
        <f t="shared" si="43"/>
        <v>#NAME?</v>
      </c>
      <c r="Q68" s="57" t="e">
        <f t="shared" si="44"/>
        <v>#NAME?</v>
      </c>
      <c r="R68" s="58" t="e">
        <f t="shared" si="45"/>
        <v>#NAME?</v>
      </c>
      <c r="T68" s="132" t="e">
        <f t="shared" si="17"/>
        <v>#NAME?</v>
      </c>
      <c r="U68" s="58" t="e">
        <f t="shared" si="18"/>
        <v>#NAME?</v>
      </c>
    </row>
    <row r="69" spans="1:21" ht="12.75">
      <c r="A69" s="52">
        <f ca="1" t="shared" si="34"/>
        <v>0.06085094496450234</v>
      </c>
      <c r="B69" s="48">
        <f t="shared" si="35"/>
        <v>-1.5476694959392554</v>
      </c>
      <c r="D69" s="2">
        <v>23</v>
      </c>
      <c r="E69" s="35">
        <f t="shared" si="21"/>
        <v>0.06301369863013699</v>
      </c>
      <c r="F69" s="26">
        <f t="shared" si="36"/>
        <v>52.93342786990762</v>
      </c>
      <c r="G69" s="37" t="e">
        <f t="shared" si="37"/>
        <v>#NAME?</v>
      </c>
      <c r="H69" s="57" t="e">
        <f t="shared" si="31"/>
        <v>#NAME?</v>
      </c>
      <c r="I69" s="57" t="e">
        <f t="shared" si="38"/>
        <v>#NAME?</v>
      </c>
      <c r="J69" s="57" t="e">
        <f t="shared" si="39"/>
        <v>#NAME?</v>
      </c>
      <c r="K69" s="58" t="e">
        <f t="shared" si="40"/>
        <v>#NAME?</v>
      </c>
      <c r="M69" s="26">
        <f t="shared" si="41"/>
        <v>47.40803772939334</v>
      </c>
      <c r="N69" s="37" t="e">
        <f t="shared" si="42"/>
        <v>#NAME?</v>
      </c>
      <c r="O69" s="57" t="e">
        <f t="shared" si="28"/>
        <v>#NAME?</v>
      </c>
      <c r="P69" s="57" t="e">
        <f t="shared" si="43"/>
        <v>#NAME?</v>
      </c>
      <c r="Q69" s="57" t="e">
        <f t="shared" si="44"/>
        <v>#NAME?</v>
      </c>
      <c r="R69" s="58" t="e">
        <f t="shared" si="45"/>
        <v>#NAME?</v>
      </c>
      <c r="T69" s="132" t="e">
        <f t="shared" si="17"/>
        <v>#NAME?</v>
      </c>
      <c r="U69" s="58" t="e">
        <f t="shared" si="18"/>
        <v>#NAME?</v>
      </c>
    </row>
    <row r="70" spans="1:21" ht="12.75">
      <c r="A70" s="52">
        <f ca="1" t="shared" si="34"/>
        <v>0.961453824209683</v>
      </c>
      <c r="B70" s="48">
        <f t="shared" si="35"/>
        <v>1.767811919517217</v>
      </c>
      <c r="D70" s="2">
        <v>24</v>
      </c>
      <c r="E70" s="35">
        <f t="shared" si="21"/>
        <v>0.06575342465753424</v>
      </c>
      <c r="F70" s="26">
        <f t="shared" si="36"/>
        <v>53.926582538123085</v>
      </c>
      <c r="G70" s="37" t="e">
        <f t="shared" si="37"/>
        <v>#NAME?</v>
      </c>
      <c r="H70" s="57" t="e">
        <f t="shared" si="31"/>
        <v>#NAME?</v>
      </c>
      <c r="I70" s="57" t="e">
        <f t="shared" si="38"/>
        <v>#NAME?</v>
      </c>
      <c r="J70" s="57" t="e">
        <f t="shared" si="39"/>
        <v>#NAME?</v>
      </c>
      <c r="K70" s="58" t="e">
        <f t="shared" si="40"/>
        <v>#NAME?</v>
      </c>
      <c r="M70" s="26">
        <f t="shared" si="41"/>
        <v>46.54258395371339</v>
      </c>
      <c r="N70" s="37" t="e">
        <f t="shared" si="42"/>
        <v>#NAME?</v>
      </c>
      <c r="O70" s="57" t="e">
        <f t="shared" si="28"/>
        <v>#NAME?</v>
      </c>
      <c r="P70" s="57" t="e">
        <f t="shared" si="43"/>
        <v>#NAME?</v>
      </c>
      <c r="Q70" s="57" t="e">
        <f t="shared" si="44"/>
        <v>#NAME?</v>
      </c>
      <c r="R70" s="58" t="e">
        <f t="shared" si="45"/>
        <v>#NAME?</v>
      </c>
      <c r="T70" s="132" t="e">
        <f t="shared" si="17"/>
        <v>#NAME?</v>
      </c>
      <c r="U70" s="58" t="e">
        <f t="shared" si="18"/>
        <v>#NAME?</v>
      </c>
    </row>
    <row r="71" spans="1:21" ht="12.75">
      <c r="A71" s="52">
        <f ca="1" t="shared" si="34"/>
        <v>0.7507130245419431</v>
      </c>
      <c r="B71" s="48">
        <f t="shared" si="35"/>
        <v>0.6767352437254512</v>
      </c>
      <c r="D71" s="2">
        <v>25</v>
      </c>
      <c r="E71" s="35">
        <f t="shared" si="21"/>
        <v>0.0684931506849315</v>
      </c>
      <c r="F71" s="26">
        <f t="shared" si="36"/>
        <v>54.31443985650381</v>
      </c>
      <c r="G71" s="37" t="e">
        <f t="shared" si="37"/>
        <v>#NAME?</v>
      </c>
      <c r="H71" s="57" t="e">
        <f t="shared" si="31"/>
        <v>#NAME?</v>
      </c>
      <c r="I71" s="57" t="e">
        <f t="shared" si="38"/>
        <v>#NAME?</v>
      </c>
      <c r="J71" s="57" t="e">
        <f t="shared" si="39"/>
        <v>#NAME?</v>
      </c>
      <c r="K71" s="58" t="e">
        <f t="shared" si="40"/>
        <v>#NAME?</v>
      </c>
      <c r="M71" s="26">
        <f t="shared" si="41"/>
        <v>46.21782198410236</v>
      </c>
      <c r="N71" s="37" t="e">
        <f t="shared" si="42"/>
        <v>#NAME?</v>
      </c>
      <c r="O71" s="57" t="e">
        <f t="shared" si="28"/>
        <v>#NAME?</v>
      </c>
      <c r="P71" s="57" t="e">
        <f t="shared" si="43"/>
        <v>#NAME?</v>
      </c>
      <c r="Q71" s="57" t="e">
        <f t="shared" si="44"/>
        <v>#NAME?</v>
      </c>
      <c r="R71" s="58" t="e">
        <f t="shared" si="45"/>
        <v>#NAME?</v>
      </c>
      <c r="T71" s="132" t="e">
        <f t="shared" si="17"/>
        <v>#NAME?</v>
      </c>
      <c r="U71" s="58" t="e">
        <f t="shared" si="18"/>
        <v>#NAME?</v>
      </c>
    </row>
    <row r="72" spans="1:21" ht="12.75">
      <c r="A72" s="52">
        <f ca="1" t="shared" si="34"/>
        <v>0.4735223829055653</v>
      </c>
      <c r="B72" s="48">
        <f t="shared" si="35"/>
        <v>-0.06641834429898605</v>
      </c>
      <c r="D72" s="2">
        <v>26</v>
      </c>
      <c r="E72" s="35">
        <f t="shared" si="21"/>
        <v>0.07123287671232877</v>
      </c>
      <c r="F72" s="26">
        <f t="shared" si="36"/>
        <v>54.2811494873167</v>
      </c>
      <c r="G72" s="37" t="e">
        <f t="shared" si="37"/>
        <v>#NAME?</v>
      </c>
      <c r="H72" s="57" t="e">
        <f t="shared" si="31"/>
        <v>#NAME?</v>
      </c>
      <c r="I72" s="57" t="e">
        <f t="shared" si="38"/>
        <v>#NAME?</v>
      </c>
      <c r="J72" s="57" t="e">
        <f t="shared" si="39"/>
        <v>#NAME?</v>
      </c>
      <c r="K72" s="58" t="e">
        <f t="shared" si="40"/>
        <v>#NAME?</v>
      </c>
      <c r="M72" s="26">
        <f t="shared" si="41"/>
        <v>46.25376988765759</v>
      </c>
      <c r="N72" s="37" t="e">
        <f t="shared" si="42"/>
        <v>#NAME?</v>
      </c>
      <c r="O72" s="57" t="e">
        <f t="shared" si="28"/>
        <v>#NAME?</v>
      </c>
      <c r="P72" s="57" t="e">
        <f t="shared" si="43"/>
        <v>#NAME?</v>
      </c>
      <c r="Q72" s="57" t="e">
        <f t="shared" si="44"/>
        <v>#NAME?</v>
      </c>
      <c r="R72" s="58" t="e">
        <f t="shared" si="45"/>
        <v>#NAME?</v>
      </c>
      <c r="T72" s="132" t="e">
        <f t="shared" si="17"/>
        <v>#NAME?</v>
      </c>
      <c r="U72" s="58" t="e">
        <f t="shared" si="18"/>
        <v>#NAME?</v>
      </c>
    </row>
    <row r="73" spans="1:21" ht="12.75">
      <c r="A73" s="52">
        <f ca="1" t="shared" si="34"/>
        <v>0.3138377777315598</v>
      </c>
      <c r="B73" s="48">
        <f t="shared" si="35"/>
        <v>-0.4850011137647775</v>
      </c>
      <c r="D73" s="2">
        <v>27</v>
      </c>
      <c r="E73" s="35">
        <f t="shared" si="21"/>
        <v>0.07397260273972603</v>
      </c>
      <c r="F73" s="26">
        <f t="shared" si="36"/>
        <v>54.01068945314584</v>
      </c>
      <c r="G73" s="37" t="e">
        <f t="shared" si="37"/>
        <v>#NAME?</v>
      </c>
      <c r="H73" s="57" t="e">
        <f t="shared" si="31"/>
        <v>#NAME?</v>
      </c>
      <c r="I73" s="57" t="e">
        <f t="shared" si="38"/>
        <v>#NAME?</v>
      </c>
      <c r="J73" s="57" t="e">
        <f t="shared" si="39"/>
        <v>#NAME?</v>
      </c>
      <c r="K73" s="58" t="e">
        <f t="shared" si="40"/>
        <v>#NAME?</v>
      </c>
      <c r="M73" s="26">
        <f t="shared" si="41"/>
        <v>46.49302899227527</v>
      </c>
      <c r="N73" s="37" t="e">
        <f t="shared" si="42"/>
        <v>#NAME?</v>
      </c>
      <c r="O73" s="57" t="e">
        <f t="shared" si="28"/>
        <v>#NAME?</v>
      </c>
      <c r="P73" s="57" t="e">
        <f t="shared" si="43"/>
        <v>#NAME?</v>
      </c>
      <c r="Q73" s="57" t="e">
        <f t="shared" si="44"/>
        <v>#NAME?</v>
      </c>
      <c r="R73" s="58" t="e">
        <f t="shared" si="45"/>
        <v>#NAME?</v>
      </c>
      <c r="T73" s="132" t="e">
        <f t="shared" si="17"/>
        <v>#NAME?</v>
      </c>
      <c r="U73" s="58" t="e">
        <f t="shared" si="18"/>
        <v>#NAME?</v>
      </c>
    </row>
    <row r="74" spans="1:21" ht="12.75">
      <c r="A74" s="52">
        <f ca="1" t="shared" si="34"/>
        <v>0.1239792336172414</v>
      </c>
      <c r="B74" s="48">
        <f t="shared" si="35"/>
        <v>-1.155322300075166</v>
      </c>
      <c r="D74" s="2">
        <v>28</v>
      </c>
      <c r="E74" s="35">
        <f t="shared" si="21"/>
        <v>0.07671232876712329</v>
      </c>
      <c r="F74" s="26">
        <f t="shared" si="36"/>
        <v>53.365779381338896</v>
      </c>
      <c r="G74" s="37" t="e">
        <f t="shared" si="37"/>
        <v>#NAME?</v>
      </c>
      <c r="H74" s="57" t="e">
        <f t="shared" si="31"/>
        <v>#NAME?</v>
      </c>
      <c r="I74" s="57" t="e">
        <f t="shared" si="38"/>
        <v>#NAME?</v>
      </c>
      <c r="J74" s="57" t="e">
        <f t="shared" si="39"/>
        <v>#NAME?</v>
      </c>
      <c r="K74" s="58" t="e">
        <f t="shared" si="40"/>
        <v>#NAME?</v>
      </c>
      <c r="M74" s="26">
        <f t="shared" si="41"/>
        <v>47.06261954051981</v>
      </c>
      <c r="N74" s="37" t="e">
        <f t="shared" si="42"/>
        <v>#NAME?</v>
      </c>
      <c r="O74" s="57" t="e">
        <f t="shared" si="28"/>
        <v>#NAME?</v>
      </c>
      <c r="P74" s="57" t="e">
        <f t="shared" si="43"/>
        <v>#NAME?</v>
      </c>
      <c r="Q74" s="57" t="e">
        <f t="shared" si="44"/>
        <v>#NAME?</v>
      </c>
      <c r="R74" s="58" t="e">
        <f t="shared" si="45"/>
        <v>#NAME?</v>
      </c>
      <c r="T74" s="132" t="e">
        <f t="shared" si="17"/>
        <v>#NAME?</v>
      </c>
      <c r="U74" s="58" t="e">
        <f t="shared" si="18"/>
        <v>#NAME?</v>
      </c>
    </row>
    <row r="75" spans="1:21" ht="12.75">
      <c r="A75" s="52">
        <f ca="1" t="shared" si="34"/>
        <v>0.5404887699565227</v>
      </c>
      <c r="B75" s="48">
        <f t="shared" si="35"/>
        <v>0.10166515624720579</v>
      </c>
      <c r="D75" s="2">
        <v>29</v>
      </c>
      <c r="E75" s="35">
        <f t="shared" si="21"/>
        <v>0.07945205479452055</v>
      </c>
      <c r="F75" s="26">
        <f t="shared" si="36"/>
        <v>53.426996799944185</v>
      </c>
      <c r="G75" s="37" t="e">
        <f t="shared" si="37"/>
        <v>#NAME?</v>
      </c>
      <c r="H75" s="57" t="e">
        <f t="shared" si="31"/>
        <v>#NAME?</v>
      </c>
      <c r="I75" s="57" t="e">
        <f t="shared" si="38"/>
        <v>#NAME?</v>
      </c>
      <c r="J75" s="57" t="e">
        <f t="shared" si="39"/>
        <v>#NAME?</v>
      </c>
      <c r="K75" s="58" t="e">
        <f t="shared" si="40"/>
        <v>#NAME?</v>
      </c>
      <c r="M75" s="26">
        <f t="shared" si="41"/>
        <v>47.016422608388496</v>
      </c>
      <c r="N75" s="37" t="e">
        <f t="shared" si="42"/>
        <v>#NAME?</v>
      </c>
      <c r="O75" s="57" t="e">
        <f t="shared" si="28"/>
        <v>#NAME?</v>
      </c>
      <c r="P75" s="57" t="e">
        <f t="shared" si="43"/>
        <v>#NAME?</v>
      </c>
      <c r="Q75" s="57" t="e">
        <f t="shared" si="44"/>
        <v>#NAME?</v>
      </c>
      <c r="R75" s="58" t="e">
        <f t="shared" si="45"/>
        <v>#NAME?</v>
      </c>
      <c r="T75" s="132" t="e">
        <f t="shared" si="17"/>
        <v>#NAME?</v>
      </c>
      <c r="U75" s="58" t="e">
        <f t="shared" si="18"/>
        <v>#NAME?</v>
      </c>
    </row>
    <row r="76" spans="1:21" ht="12.75">
      <c r="A76" s="52">
        <f ca="1" t="shared" si="34"/>
        <v>0.6595412915642846</v>
      </c>
      <c r="B76" s="48">
        <f t="shared" si="35"/>
        <v>0.4112115540156436</v>
      </c>
      <c r="D76" s="2">
        <v>30</v>
      </c>
      <c r="E76" s="35">
        <f t="shared" si="21"/>
        <v>0.0821917808219178</v>
      </c>
      <c r="F76" s="26">
        <f t="shared" si="36"/>
        <v>53.661893283861154</v>
      </c>
      <c r="G76" s="37" t="e">
        <f t="shared" si="37"/>
        <v>#NAME?</v>
      </c>
      <c r="H76" s="57" t="e">
        <f t="shared" si="31"/>
        <v>#NAME?</v>
      </c>
      <c r="I76" s="57" t="e">
        <f t="shared" si="38"/>
        <v>#NAME?</v>
      </c>
      <c r="J76" s="57" t="e">
        <f t="shared" si="39"/>
        <v>#NAME?</v>
      </c>
      <c r="K76" s="58" t="e">
        <f t="shared" si="40"/>
        <v>#NAME?</v>
      </c>
      <c r="M76" s="26">
        <f t="shared" si="41"/>
        <v>46.81831115363227</v>
      </c>
      <c r="N76" s="37" t="e">
        <f t="shared" si="42"/>
        <v>#NAME?</v>
      </c>
      <c r="O76" s="57" t="e">
        <f t="shared" si="28"/>
        <v>#NAME?</v>
      </c>
      <c r="P76" s="57" t="e">
        <f t="shared" si="43"/>
        <v>#NAME?</v>
      </c>
      <c r="Q76" s="57" t="e">
        <f t="shared" si="44"/>
        <v>#NAME?</v>
      </c>
      <c r="R76" s="58" t="e">
        <f t="shared" si="45"/>
        <v>#NAME?</v>
      </c>
      <c r="T76" s="132" t="e">
        <f t="shared" si="17"/>
        <v>#NAME?</v>
      </c>
      <c r="U76" s="58" t="e">
        <f t="shared" si="18"/>
        <v>#NAME?</v>
      </c>
    </row>
    <row r="77" spans="1:21" ht="12.75">
      <c r="A77" s="52">
        <f ca="1" t="shared" si="34"/>
        <v>0.5003328165669781</v>
      </c>
      <c r="B77" s="48">
        <f t="shared" si="35"/>
        <v>0.00083424751382128</v>
      </c>
      <c r="D77" s="2">
        <v>31</v>
      </c>
      <c r="E77" s="35">
        <f t="shared" si="21"/>
        <v>0.08493150684931507</v>
      </c>
      <c r="F77" s="26">
        <f t="shared" si="36"/>
        <v>53.666772717787026</v>
      </c>
      <c r="G77" s="37" t="e">
        <f t="shared" si="37"/>
        <v>#NAME?</v>
      </c>
      <c r="H77" s="57" t="e">
        <f t="shared" si="31"/>
        <v>#NAME?</v>
      </c>
      <c r="I77" s="57" t="e">
        <f t="shared" si="38"/>
        <v>#NAME?</v>
      </c>
      <c r="J77" s="57" t="e">
        <f t="shared" si="39"/>
        <v>#NAME?</v>
      </c>
      <c r="K77" s="58" t="e">
        <f t="shared" si="40"/>
        <v>#NAME?</v>
      </c>
      <c r="M77" s="26">
        <f t="shared" si="41"/>
        <v>46.821750481867284</v>
      </c>
      <c r="N77" s="37" t="e">
        <f t="shared" si="42"/>
        <v>#NAME?</v>
      </c>
      <c r="O77" s="57" t="e">
        <f t="shared" si="28"/>
        <v>#NAME?</v>
      </c>
      <c r="P77" s="57" t="e">
        <f t="shared" si="43"/>
        <v>#NAME?</v>
      </c>
      <c r="Q77" s="57" t="e">
        <f t="shared" si="44"/>
        <v>#NAME?</v>
      </c>
      <c r="R77" s="58" t="e">
        <f t="shared" si="45"/>
        <v>#NAME?</v>
      </c>
      <c r="T77" s="132" t="e">
        <f t="shared" si="17"/>
        <v>#NAME?</v>
      </c>
      <c r="U77" s="58" t="e">
        <f t="shared" si="18"/>
        <v>#NAME?</v>
      </c>
    </row>
    <row r="78" spans="1:21" ht="12.75">
      <c r="A78" s="52">
        <f ca="1" t="shared" si="34"/>
        <v>0.056497594412029874</v>
      </c>
      <c r="B78" s="48">
        <f t="shared" si="35"/>
        <v>-1.5848730147287413</v>
      </c>
      <c r="D78" s="2">
        <v>32</v>
      </c>
      <c r="E78" s="35">
        <f t="shared" si="21"/>
        <v>0.08767123287671233</v>
      </c>
      <c r="F78" s="26">
        <f t="shared" si="36"/>
        <v>52.788060339090705</v>
      </c>
      <c r="G78" s="37" t="e">
        <f t="shared" si="37"/>
        <v>#NAME?</v>
      </c>
      <c r="H78" s="57" t="e">
        <f t="shared" si="31"/>
        <v>#NAME?</v>
      </c>
      <c r="I78" s="57" t="e">
        <f t="shared" si="38"/>
        <v>#NAME?</v>
      </c>
      <c r="J78" s="57" t="e">
        <f t="shared" si="39"/>
        <v>#NAME?</v>
      </c>
      <c r="K78" s="58" t="e">
        <f t="shared" si="40"/>
        <v>#NAME?</v>
      </c>
      <c r="M78" s="26">
        <f t="shared" si="41"/>
        <v>47.60897289307565</v>
      </c>
      <c r="N78" s="37" t="e">
        <f t="shared" si="42"/>
        <v>#NAME?</v>
      </c>
      <c r="O78" s="57" t="e">
        <f t="shared" si="28"/>
        <v>#NAME?</v>
      </c>
      <c r="P78" s="57" t="e">
        <f t="shared" si="43"/>
        <v>#NAME?</v>
      </c>
      <c r="Q78" s="57" t="e">
        <f t="shared" si="44"/>
        <v>#NAME?</v>
      </c>
      <c r="R78" s="58" t="e">
        <f t="shared" si="45"/>
        <v>#NAME?</v>
      </c>
      <c r="T78" s="132" t="e">
        <f t="shared" si="17"/>
        <v>#NAME?</v>
      </c>
      <c r="U78" s="58" t="e">
        <f t="shared" si="18"/>
        <v>#NAME?</v>
      </c>
    </row>
    <row r="79" spans="1:21" ht="12.75">
      <c r="A79" s="52">
        <f ca="1" t="shared" si="34"/>
        <v>0.24570717853954221</v>
      </c>
      <c r="B79" s="48">
        <f t="shared" si="35"/>
        <v>-0.6880610183189246</v>
      </c>
      <c r="D79" s="2">
        <v>33</v>
      </c>
      <c r="E79" s="35">
        <f t="shared" si="21"/>
        <v>0.09041095890410959</v>
      </c>
      <c r="F79" s="26">
        <f t="shared" si="36"/>
        <v>52.41350436623323</v>
      </c>
      <c r="G79" s="37" t="e">
        <f t="shared" si="37"/>
        <v>#NAME?</v>
      </c>
      <c r="H79" s="57" t="e">
        <f t="shared" si="31"/>
        <v>#NAME?</v>
      </c>
      <c r="I79" s="57" t="e">
        <f t="shared" si="38"/>
        <v>#NAME?</v>
      </c>
      <c r="J79" s="57" t="e">
        <f t="shared" si="39"/>
        <v>#NAME?</v>
      </c>
      <c r="K79" s="58" t="e">
        <f t="shared" si="40"/>
        <v>#NAME?</v>
      </c>
      <c r="M79" s="26">
        <f t="shared" si="41"/>
        <v>47.95707755985981</v>
      </c>
      <c r="N79" s="37" t="e">
        <f t="shared" si="42"/>
        <v>#NAME?</v>
      </c>
      <c r="O79" s="57" t="e">
        <f t="shared" si="28"/>
        <v>#NAME?</v>
      </c>
      <c r="P79" s="57" t="e">
        <f t="shared" si="43"/>
        <v>#NAME?</v>
      </c>
      <c r="Q79" s="57" t="e">
        <f t="shared" si="44"/>
        <v>#NAME?</v>
      </c>
      <c r="R79" s="58" t="e">
        <f t="shared" si="45"/>
        <v>#NAME?</v>
      </c>
      <c r="T79" s="132" t="e">
        <f t="shared" si="17"/>
        <v>#NAME?</v>
      </c>
      <c r="U79" s="58" t="e">
        <f t="shared" si="18"/>
        <v>#NAME?</v>
      </c>
    </row>
    <row r="80" spans="1:21" ht="12.75">
      <c r="A80" s="52">
        <f ca="1" t="shared" si="34"/>
        <v>0.9996703568246746</v>
      </c>
      <c r="B80" s="48">
        <f t="shared" si="35"/>
        <v>3.4059732647315784</v>
      </c>
      <c r="D80" s="2">
        <v>34</v>
      </c>
      <c r="E80" s="35">
        <f t="shared" si="21"/>
        <v>0.09315068493150686</v>
      </c>
      <c r="F80" s="26">
        <f t="shared" si="36"/>
        <v>54.32050742157905</v>
      </c>
      <c r="G80" s="37" t="e">
        <f t="shared" si="37"/>
        <v>#NAME?</v>
      </c>
      <c r="H80" s="57" t="e">
        <f t="shared" si="31"/>
        <v>#NAME?</v>
      </c>
      <c r="I80" s="57" t="e">
        <f t="shared" si="38"/>
        <v>#NAME?</v>
      </c>
      <c r="J80" s="57" t="e">
        <f t="shared" si="39"/>
        <v>#NAME?</v>
      </c>
      <c r="K80" s="58" t="e">
        <f t="shared" si="40"/>
        <v>#NAME?</v>
      </c>
      <c r="M80" s="26">
        <f t="shared" si="41"/>
        <v>46.2810794972955</v>
      </c>
      <c r="N80" s="37" t="e">
        <f t="shared" si="42"/>
        <v>#NAME?</v>
      </c>
      <c r="O80" s="57" t="e">
        <f t="shared" si="28"/>
        <v>#NAME?</v>
      </c>
      <c r="P80" s="57" t="e">
        <f t="shared" si="43"/>
        <v>#NAME?</v>
      </c>
      <c r="Q80" s="57" t="e">
        <f t="shared" si="44"/>
        <v>#NAME?</v>
      </c>
      <c r="R80" s="58" t="e">
        <f t="shared" si="45"/>
        <v>#NAME?</v>
      </c>
      <c r="T80" s="132" t="e">
        <f t="shared" si="17"/>
        <v>#NAME?</v>
      </c>
      <c r="U80" s="58" t="e">
        <f t="shared" si="18"/>
        <v>#NAME?</v>
      </c>
    </row>
    <row r="81" spans="1:21" ht="12.75">
      <c r="A81" s="52">
        <f ca="1" t="shared" si="34"/>
        <v>0.1654259220257644</v>
      </c>
      <c r="B81" s="48">
        <f t="shared" si="35"/>
        <v>-0.9723994930470219</v>
      </c>
      <c r="D81" s="2">
        <v>35</v>
      </c>
      <c r="E81" s="35">
        <f t="shared" si="21"/>
        <v>0.0958904109589041</v>
      </c>
      <c r="F81" s="26">
        <f t="shared" si="36"/>
        <v>53.77477403976122</v>
      </c>
      <c r="G81" s="37" t="e">
        <f t="shared" si="37"/>
        <v>#NAME?</v>
      </c>
      <c r="H81" s="57" t="e">
        <f t="shared" si="31"/>
        <v>#NAME?</v>
      </c>
      <c r="I81" s="57" t="e">
        <f t="shared" si="38"/>
        <v>#NAME?</v>
      </c>
      <c r="J81" s="57" t="e">
        <f t="shared" si="39"/>
        <v>#NAME?</v>
      </c>
      <c r="K81" s="58" t="e">
        <f t="shared" si="40"/>
        <v>#NAME?</v>
      </c>
      <c r="M81" s="26">
        <f t="shared" si="41"/>
        <v>46.758448796491514</v>
      </c>
      <c r="N81" s="37" t="e">
        <f t="shared" si="42"/>
        <v>#NAME?</v>
      </c>
      <c r="O81" s="57" t="e">
        <f t="shared" si="28"/>
        <v>#NAME?</v>
      </c>
      <c r="P81" s="57" t="e">
        <f t="shared" si="43"/>
        <v>#NAME?</v>
      </c>
      <c r="Q81" s="57" t="e">
        <f t="shared" si="44"/>
        <v>#NAME?</v>
      </c>
      <c r="R81" s="58" t="e">
        <f t="shared" si="45"/>
        <v>#NAME?</v>
      </c>
      <c r="T81" s="132" t="e">
        <f t="shared" si="17"/>
        <v>#NAME?</v>
      </c>
      <c r="U81" s="58" t="e">
        <f t="shared" si="18"/>
        <v>#NAME?</v>
      </c>
    </row>
    <row r="82" spans="1:21" ht="12.75">
      <c r="A82" s="52">
        <f ca="1" t="shared" si="34"/>
        <v>0.731735356390419</v>
      </c>
      <c r="B82" s="48">
        <f t="shared" si="35"/>
        <v>0.6180698627805281</v>
      </c>
      <c r="D82" s="2">
        <v>36</v>
      </c>
      <c r="E82" s="35">
        <f t="shared" si="21"/>
        <v>0.09863013698630137</v>
      </c>
      <c r="F82" s="26">
        <f t="shared" si="36"/>
        <v>54.128287094084264</v>
      </c>
      <c r="G82" s="37" t="e">
        <f t="shared" si="37"/>
        <v>#NAME?</v>
      </c>
      <c r="H82" s="57" t="e">
        <f t="shared" si="31"/>
        <v>#NAME?</v>
      </c>
      <c r="I82" s="57" t="e">
        <f t="shared" si="38"/>
        <v>#NAME?</v>
      </c>
      <c r="J82" s="57" t="e">
        <f t="shared" si="39"/>
        <v>#NAME?</v>
      </c>
      <c r="K82" s="58" t="e">
        <f t="shared" si="40"/>
        <v>#NAME?</v>
      </c>
      <c r="M82" s="26">
        <f t="shared" si="41"/>
        <v>46.46070506949685</v>
      </c>
      <c r="N82" s="37" t="e">
        <f t="shared" si="42"/>
        <v>#NAME?</v>
      </c>
      <c r="O82" s="57" t="e">
        <f t="shared" si="28"/>
        <v>#NAME?</v>
      </c>
      <c r="P82" s="57" t="e">
        <f t="shared" si="43"/>
        <v>#NAME?</v>
      </c>
      <c r="Q82" s="57" t="e">
        <f t="shared" si="44"/>
        <v>#NAME?</v>
      </c>
      <c r="R82" s="58" t="e">
        <f t="shared" si="45"/>
        <v>#NAME?</v>
      </c>
      <c r="T82" s="132" t="e">
        <f t="shared" si="17"/>
        <v>#NAME?</v>
      </c>
      <c r="U82" s="58" t="e">
        <f t="shared" si="18"/>
        <v>#NAME?</v>
      </c>
    </row>
    <row r="83" spans="1:21" ht="12.75">
      <c r="A83" s="52">
        <f ca="1" t="shared" si="34"/>
        <v>0.15202024837000028</v>
      </c>
      <c r="B83" s="48">
        <f t="shared" si="35"/>
        <v>-1.027807268052245</v>
      </c>
      <c r="D83" s="2">
        <v>37</v>
      </c>
      <c r="E83" s="35">
        <f t="shared" si="21"/>
        <v>0.10136986301369863</v>
      </c>
      <c r="F83" s="26">
        <f t="shared" si="36"/>
        <v>53.55341299258603</v>
      </c>
      <c r="G83" s="37" t="e">
        <f t="shared" si="37"/>
        <v>#NAME?</v>
      </c>
      <c r="H83" s="57" t="e">
        <f t="shared" si="31"/>
        <v>#NAME?</v>
      </c>
      <c r="I83" s="57" t="e">
        <f t="shared" si="38"/>
        <v>#NAME?</v>
      </c>
      <c r="J83" s="57" t="e">
        <f t="shared" si="39"/>
        <v>#NAME?</v>
      </c>
      <c r="K83" s="58" t="e">
        <f t="shared" si="40"/>
        <v>#NAME?</v>
      </c>
      <c r="M83" s="26">
        <f t="shared" si="41"/>
        <v>46.967161831750886</v>
      </c>
      <c r="N83" s="37" t="e">
        <f t="shared" si="42"/>
        <v>#NAME?</v>
      </c>
      <c r="O83" s="57" t="e">
        <f t="shared" si="28"/>
        <v>#NAME?</v>
      </c>
      <c r="P83" s="57" t="e">
        <f t="shared" si="43"/>
        <v>#NAME?</v>
      </c>
      <c r="Q83" s="57" t="e">
        <f t="shared" si="44"/>
        <v>#NAME?</v>
      </c>
      <c r="R83" s="58" t="e">
        <f t="shared" si="45"/>
        <v>#NAME?</v>
      </c>
      <c r="T83" s="132" t="e">
        <f t="shared" si="17"/>
        <v>#NAME?</v>
      </c>
      <c r="U83" s="58" t="e">
        <f t="shared" si="18"/>
        <v>#NAME?</v>
      </c>
    </row>
    <row r="84" spans="1:21" ht="12.75">
      <c r="A84" s="52">
        <f ca="1" t="shared" si="34"/>
        <v>0.4752560682953985</v>
      </c>
      <c r="B84" s="48">
        <f t="shared" si="35"/>
        <v>-0.062063659638531235</v>
      </c>
      <c r="D84" s="2">
        <v>38</v>
      </c>
      <c r="E84" s="35">
        <f t="shared" si="21"/>
        <v>0.10410958904109589</v>
      </c>
      <c r="F84" s="26">
        <f t="shared" si="36"/>
        <v>53.523028966022984</v>
      </c>
      <c r="G84" s="37" t="e">
        <f t="shared" si="37"/>
        <v>#NAME?</v>
      </c>
      <c r="H84" s="57" t="e">
        <f t="shared" si="31"/>
        <v>#NAME?</v>
      </c>
      <c r="I84" s="57" t="e">
        <f t="shared" si="38"/>
        <v>#NAME?</v>
      </c>
      <c r="J84" s="57" t="e">
        <f t="shared" si="39"/>
        <v>#NAME?</v>
      </c>
      <c r="K84" s="58" t="e">
        <f t="shared" si="40"/>
        <v>#NAME?</v>
      </c>
      <c r="M84" s="26">
        <f t="shared" si="41"/>
        <v>47.00154986182584</v>
      </c>
      <c r="N84" s="37" t="e">
        <f t="shared" si="42"/>
        <v>#NAME?</v>
      </c>
      <c r="O84" s="57" t="e">
        <f t="shared" si="28"/>
        <v>#NAME?</v>
      </c>
      <c r="P84" s="57" t="e">
        <f t="shared" si="43"/>
        <v>#NAME?</v>
      </c>
      <c r="Q84" s="57" t="e">
        <f t="shared" si="44"/>
        <v>#NAME?</v>
      </c>
      <c r="R84" s="58" t="e">
        <f t="shared" si="45"/>
        <v>#NAME?</v>
      </c>
      <c r="T84" s="132" t="e">
        <f t="shared" si="17"/>
        <v>#NAME?</v>
      </c>
      <c r="U84" s="58" t="e">
        <f t="shared" si="18"/>
        <v>#NAME?</v>
      </c>
    </row>
    <row r="85" spans="1:21" ht="12.75">
      <c r="A85" s="52">
        <f ca="1" t="shared" si="34"/>
        <v>0.22193718880508218</v>
      </c>
      <c r="B85" s="48">
        <f t="shared" si="35"/>
        <v>-0.7656671507182145</v>
      </c>
      <c r="D85" s="2">
        <v>39</v>
      </c>
      <c r="E85" s="35">
        <f t="shared" si="21"/>
        <v>0.10684931506849316</v>
      </c>
      <c r="F85" s="26">
        <f t="shared" si="36"/>
        <v>53.10010103416918</v>
      </c>
      <c r="G85" s="37" t="e">
        <f t="shared" si="37"/>
        <v>#NAME?</v>
      </c>
      <c r="H85" s="57" t="e">
        <f t="shared" si="31"/>
        <v>#NAME?</v>
      </c>
      <c r="I85" s="57" t="e">
        <f t="shared" si="38"/>
        <v>#NAME?</v>
      </c>
      <c r="J85" s="57" t="e">
        <f t="shared" si="39"/>
        <v>#NAME?</v>
      </c>
      <c r="K85" s="58" t="e">
        <f t="shared" si="40"/>
        <v>#NAME?</v>
      </c>
      <c r="M85" s="26">
        <f t="shared" si="41"/>
        <v>47.383692944363915</v>
      </c>
      <c r="N85" s="37" t="e">
        <f t="shared" si="42"/>
        <v>#NAME?</v>
      </c>
      <c r="O85" s="57" t="e">
        <f t="shared" si="28"/>
        <v>#NAME?</v>
      </c>
      <c r="P85" s="57" t="e">
        <f t="shared" si="43"/>
        <v>#NAME?</v>
      </c>
      <c r="Q85" s="57" t="e">
        <f t="shared" si="44"/>
        <v>#NAME?</v>
      </c>
      <c r="R85" s="58" t="e">
        <f t="shared" si="45"/>
        <v>#NAME?</v>
      </c>
      <c r="T85" s="132" t="e">
        <f t="shared" si="17"/>
        <v>#NAME?</v>
      </c>
      <c r="U85" s="58" t="e">
        <f t="shared" si="18"/>
        <v>#NAME?</v>
      </c>
    </row>
    <row r="86" spans="1:21" ht="12.75">
      <c r="A86" s="52">
        <f ca="1" t="shared" si="34"/>
        <v>0.3432050148761185</v>
      </c>
      <c r="B86" s="48">
        <f t="shared" si="35"/>
        <v>-0.4037316950567642</v>
      </c>
      <c r="D86" s="2">
        <v>40</v>
      </c>
      <c r="E86" s="35">
        <f t="shared" si="21"/>
        <v>0.1095890410958904</v>
      </c>
      <c r="F86" s="26">
        <f t="shared" si="36"/>
        <v>52.880495522215014</v>
      </c>
      <c r="G86" s="37" t="e">
        <f t="shared" si="37"/>
        <v>#NAME?</v>
      </c>
      <c r="H86" s="57" t="e">
        <f t="shared" si="31"/>
        <v>#NAME?</v>
      </c>
      <c r="I86" s="57" t="e">
        <f t="shared" si="38"/>
        <v>#NAME?</v>
      </c>
      <c r="J86" s="57" t="e">
        <f t="shared" si="39"/>
        <v>#NAME?</v>
      </c>
      <c r="K86" s="58" t="e">
        <f t="shared" si="40"/>
        <v>#NAME?</v>
      </c>
      <c r="M86" s="26">
        <f t="shared" si="41"/>
        <v>47.588293072353395</v>
      </c>
      <c r="N86" s="37" t="e">
        <f t="shared" si="42"/>
        <v>#NAME?</v>
      </c>
      <c r="O86" s="57" t="e">
        <f t="shared" si="28"/>
        <v>#NAME?</v>
      </c>
      <c r="P86" s="57" t="e">
        <f t="shared" si="43"/>
        <v>#NAME?</v>
      </c>
      <c r="Q86" s="57" t="e">
        <f t="shared" si="44"/>
        <v>#NAME?</v>
      </c>
      <c r="R86" s="58" t="e">
        <f t="shared" si="45"/>
        <v>#NAME?</v>
      </c>
      <c r="T86" s="132" t="e">
        <f t="shared" si="17"/>
        <v>#NAME?</v>
      </c>
      <c r="U86" s="58" t="e">
        <f t="shared" si="18"/>
        <v>#NAME?</v>
      </c>
    </row>
    <row r="87" spans="1:21" ht="12.75">
      <c r="A87" s="52">
        <f ca="1" t="shared" si="34"/>
        <v>0.18024882993046284</v>
      </c>
      <c r="B87" s="48">
        <f t="shared" si="35"/>
        <v>-0.9144172142984115</v>
      </c>
      <c r="D87" s="2">
        <v>41</v>
      </c>
      <c r="E87" s="35">
        <f t="shared" si="21"/>
        <v>0.11232876712328767</v>
      </c>
      <c r="F87" s="26">
        <f t="shared" si="36"/>
        <v>52.38101419082089</v>
      </c>
      <c r="G87" s="37" t="e">
        <f t="shared" si="37"/>
        <v>#NAME?</v>
      </c>
      <c r="H87" s="57" t="e">
        <f t="shared" si="31"/>
        <v>#NAME?</v>
      </c>
      <c r="I87" s="57" t="e">
        <f t="shared" si="38"/>
        <v>#NAME?</v>
      </c>
      <c r="J87" s="57" t="e">
        <f t="shared" si="39"/>
        <v>#NAME?</v>
      </c>
      <c r="K87" s="58" t="e">
        <f t="shared" si="40"/>
        <v>#NAME?</v>
      </c>
      <c r="M87" s="26">
        <f t="shared" si="41"/>
        <v>48.04997118915483</v>
      </c>
      <c r="N87" s="37" t="e">
        <f t="shared" si="42"/>
        <v>#NAME?</v>
      </c>
      <c r="O87" s="57" t="e">
        <f t="shared" si="28"/>
        <v>#NAME?</v>
      </c>
      <c r="P87" s="57" t="e">
        <f t="shared" si="43"/>
        <v>#NAME?</v>
      </c>
      <c r="Q87" s="57" t="e">
        <f t="shared" si="44"/>
        <v>#NAME?</v>
      </c>
      <c r="R87" s="58" t="e">
        <f t="shared" si="45"/>
        <v>#NAME?</v>
      </c>
      <c r="T87" s="132" t="e">
        <f t="shared" si="17"/>
        <v>#NAME?</v>
      </c>
      <c r="U87" s="58" t="e">
        <f t="shared" si="18"/>
        <v>#NAME?</v>
      </c>
    </row>
    <row r="88" spans="1:21" ht="12.75">
      <c r="A88" s="52">
        <f ca="1" t="shared" si="34"/>
        <v>0.7927649417685707</v>
      </c>
      <c r="B88" s="48">
        <f t="shared" si="35"/>
        <v>0.8160524877396391</v>
      </c>
      <c r="D88" s="2">
        <v>42</v>
      </c>
      <c r="E88" s="35">
        <f t="shared" si="21"/>
        <v>0.11506849315068493</v>
      </c>
      <c r="F88" s="26">
        <f t="shared" si="36"/>
        <v>52.8347554189078</v>
      </c>
      <c r="G88" s="37" t="e">
        <f t="shared" si="37"/>
        <v>#NAME?</v>
      </c>
      <c r="H88" s="57" t="e">
        <f t="shared" si="31"/>
        <v>#NAME?</v>
      </c>
      <c r="I88" s="57" t="e">
        <f t="shared" si="38"/>
        <v>#NAME?</v>
      </c>
      <c r="J88" s="57" t="e">
        <f t="shared" si="39"/>
        <v>#NAME?</v>
      </c>
      <c r="K88" s="58" t="e">
        <f t="shared" si="40"/>
        <v>#NAME?</v>
      </c>
      <c r="M88" s="26">
        <f t="shared" si="41"/>
        <v>47.645152793566865</v>
      </c>
      <c r="N88" s="37" t="e">
        <f t="shared" si="42"/>
        <v>#NAME?</v>
      </c>
      <c r="O88" s="57" t="e">
        <f t="shared" si="28"/>
        <v>#NAME?</v>
      </c>
      <c r="P88" s="57" t="e">
        <f t="shared" si="43"/>
        <v>#NAME?</v>
      </c>
      <c r="Q88" s="57" t="e">
        <f t="shared" si="44"/>
        <v>#NAME?</v>
      </c>
      <c r="R88" s="58" t="e">
        <f t="shared" si="45"/>
        <v>#NAME?</v>
      </c>
      <c r="T88" s="132" t="e">
        <f t="shared" si="17"/>
        <v>#NAME?</v>
      </c>
      <c r="U88" s="58" t="e">
        <f t="shared" si="18"/>
        <v>#NAME?</v>
      </c>
    </row>
    <row r="89" spans="1:21" ht="12.75">
      <c r="A89" s="52">
        <f ca="1" t="shared" si="34"/>
        <v>0.16857147143393575</v>
      </c>
      <c r="B89" s="48">
        <f t="shared" si="35"/>
        <v>-0.95982570520956</v>
      </c>
      <c r="D89" s="2">
        <v>43</v>
      </c>
      <c r="E89" s="35">
        <f t="shared" si="21"/>
        <v>0.1178082191780822</v>
      </c>
      <c r="F89" s="26">
        <f t="shared" si="36"/>
        <v>52.31083384996472</v>
      </c>
      <c r="G89" s="37" t="e">
        <f t="shared" si="37"/>
        <v>#NAME?</v>
      </c>
      <c r="H89" s="57" t="e">
        <f t="shared" si="31"/>
        <v>#NAME?</v>
      </c>
      <c r="I89" s="57" t="e">
        <f t="shared" si="38"/>
        <v>#NAME?</v>
      </c>
      <c r="J89" s="57" t="e">
        <f t="shared" si="39"/>
        <v>#NAME?</v>
      </c>
      <c r="K89" s="58" t="e">
        <f t="shared" si="40"/>
        <v>#NAME?</v>
      </c>
      <c r="M89" s="26">
        <f t="shared" si="41"/>
        <v>48.130256191397834</v>
      </c>
      <c r="N89" s="37" t="e">
        <f t="shared" si="42"/>
        <v>#NAME?</v>
      </c>
      <c r="O89" s="57" t="e">
        <f t="shared" si="28"/>
        <v>#NAME?</v>
      </c>
      <c r="P89" s="57" t="e">
        <f t="shared" si="43"/>
        <v>#NAME?</v>
      </c>
      <c r="Q89" s="57" t="e">
        <f t="shared" si="44"/>
        <v>#NAME?</v>
      </c>
      <c r="R89" s="58" t="e">
        <f t="shared" si="45"/>
        <v>#NAME?</v>
      </c>
      <c r="T89" s="132" t="e">
        <f t="shared" si="17"/>
        <v>#NAME?</v>
      </c>
      <c r="U89" s="58" t="e">
        <f t="shared" si="18"/>
        <v>#NAME?</v>
      </c>
    </row>
    <row r="90" spans="1:21" ht="12.75">
      <c r="A90" s="52">
        <f ca="1" t="shared" si="34"/>
        <v>0.7913011526096765</v>
      </c>
      <c r="B90" s="48">
        <f t="shared" si="35"/>
        <v>0.8109442367086892</v>
      </c>
      <c r="D90" s="2">
        <v>44</v>
      </c>
      <c r="E90" s="35">
        <f t="shared" si="21"/>
        <v>0.12054794520547946</v>
      </c>
      <c r="F90" s="26">
        <f t="shared" si="36"/>
        <v>52.76114564312276</v>
      </c>
      <c r="G90" s="37" t="e">
        <f t="shared" si="37"/>
        <v>#NAME?</v>
      </c>
      <c r="H90" s="57" t="e">
        <f t="shared" si="31"/>
        <v>#NAME?</v>
      </c>
      <c r="I90" s="57" t="e">
        <f t="shared" si="38"/>
        <v>#NAME?</v>
      </c>
      <c r="J90" s="57" t="e">
        <f t="shared" si="39"/>
        <v>#NAME?</v>
      </c>
      <c r="K90" s="58" t="e">
        <f t="shared" si="40"/>
        <v>#NAME?</v>
      </c>
      <c r="M90" s="26">
        <f t="shared" si="41"/>
        <v>47.72731357827562</v>
      </c>
      <c r="N90" s="37" t="e">
        <f t="shared" si="42"/>
        <v>#NAME?</v>
      </c>
      <c r="O90" s="57" t="e">
        <f t="shared" si="28"/>
        <v>#NAME?</v>
      </c>
      <c r="P90" s="57" t="e">
        <f t="shared" si="43"/>
        <v>#NAME?</v>
      </c>
      <c r="Q90" s="57" t="e">
        <f t="shared" si="44"/>
        <v>#NAME?</v>
      </c>
      <c r="R90" s="58" t="e">
        <f t="shared" si="45"/>
        <v>#NAME?</v>
      </c>
      <c r="T90" s="132" t="e">
        <f t="shared" si="17"/>
        <v>#NAME?</v>
      </c>
      <c r="U90" s="58" t="e">
        <f t="shared" si="18"/>
        <v>#NAME?</v>
      </c>
    </row>
    <row r="91" spans="1:21" ht="12.75">
      <c r="A91" s="52">
        <f ca="1" t="shared" si="34"/>
        <v>0.9892695113438246</v>
      </c>
      <c r="B91" s="48">
        <f t="shared" si="35"/>
        <v>2.2997748799785525</v>
      </c>
      <c r="D91" s="2">
        <v>45</v>
      </c>
      <c r="E91" s="35">
        <f t="shared" si="21"/>
        <v>0.1232876712328767</v>
      </c>
      <c r="F91" s="26">
        <f t="shared" si="36"/>
        <v>54.051234155069345</v>
      </c>
      <c r="G91" s="37" t="e">
        <f t="shared" si="37"/>
        <v>#NAME?</v>
      </c>
      <c r="H91" s="57" t="e">
        <f t="shared" si="31"/>
        <v>#NAME?</v>
      </c>
      <c r="I91" s="57" t="e">
        <f t="shared" si="38"/>
        <v>#NAME?</v>
      </c>
      <c r="J91" s="57" t="e">
        <f t="shared" si="39"/>
        <v>#NAME?</v>
      </c>
      <c r="K91" s="58" t="e">
        <f t="shared" si="40"/>
        <v>#NAME?</v>
      </c>
      <c r="M91" s="26">
        <f t="shared" si="41"/>
        <v>46.59582261807428</v>
      </c>
      <c r="N91" s="37" t="e">
        <f t="shared" si="42"/>
        <v>#NAME?</v>
      </c>
      <c r="O91" s="57" t="e">
        <f t="shared" si="28"/>
        <v>#NAME?</v>
      </c>
      <c r="P91" s="57" t="e">
        <f t="shared" si="43"/>
        <v>#NAME?</v>
      </c>
      <c r="Q91" s="57" t="e">
        <f t="shared" si="44"/>
        <v>#NAME?</v>
      </c>
      <c r="R91" s="58" t="e">
        <f t="shared" si="45"/>
        <v>#NAME?</v>
      </c>
      <c r="T91" s="132" t="e">
        <f t="shared" si="17"/>
        <v>#NAME?</v>
      </c>
      <c r="U91" s="58" t="e">
        <f t="shared" si="18"/>
        <v>#NAME?</v>
      </c>
    </row>
    <row r="92" spans="1:21" ht="12.75">
      <c r="A92" s="52">
        <f ca="1" t="shared" si="34"/>
        <v>0.7679883442265072</v>
      </c>
      <c r="B92" s="48">
        <f t="shared" si="35"/>
        <v>0.7322380045364043</v>
      </c>
      <c r="D92" s="2">
        <v>46</v>
      </c>
      <c r="E92" s="35">
        <f t="shared" si="21"/>
        <v>0.12602739726027398</v>
      </c>
      <c r="F92" s="26">
        <f t="shared" si="36"/>
        <v>54.47162843566654</v>
      </c>
      <c r="G92" s="37" t="e">
        <f t="shared" si="37"/>
        <v>#NAME?</v>
      </c>
      <c r="H92" s="57" t="e">
        <f t="shared" si="31"/>
        <v>#NAME?</v>
      </c>
      <c r="I92" s="57" t="e">
        <f t="shared" si="38"/>
        <v>#NAME?</v>
      </c>
      <c r="J92" s="57" t="e">
        <f t="shared" si="39"/>
        <v>#NAME?</v>
      </c>
      <c r="K92" s="58" t="e">
        <f t="shared" si="40"/>
        <v>#NAME?</v>
      </c>
      <c r="M92" s="26">
        <f t="shared" si="41"/>
        <v>46.24381233853354</v>
      </c>
      <c r="N92" s="37" t="e">
        <f t="shared" si="42"/>
        <v>#NAME?</v>
      </c>
      <c r="O92" s="57" t="e">
        <f t="shared" si="28"/>
        <v>#NAME?</v>
      </c>
      <c r="P92" s="57" t="e">
        <f t="shared" si="43"/>
        <v>#NAME?</v>
      </c>
      <c r="Q92" s="57" t="e">
        <f t="shared" si="44"/>
        <v>#NAME?</v>
      </c>
      <c r="R92" s="58" t="e">
        <f t="shared" si="45"/>
        <v>#NAME?</v>
      </c>
      <c r="T92" s="132" t="e">
        <f t="shared" si="17"/>
        <v>#NAME?</v>
      </c>
      <c r="U92" s="58" t="e">
        <f t="shared" si="18"/>
        <v>#NAME?</v>
      </c>
    </row>
    <row r="93" spans="1:21" ht="12.75">
      <c r="A93" s="52">
        <f ca="1" t="shared" si="34"/>
        <v>0.36830105275474656</v>
      </c>
      <c r="B93" s="48">
        <f t="shared" si="35"/>
        <v>-0.33635642421066425</v>
      </c>
      <c r="D93" s="2">
        <v>47</v>
      </c>
      <c r="E93" s="35">
        <f t="shared" si="21"/>
        <v>0.12876712328767123</v>
      </c>
      <c r="F93" s="26">
        <f t="shared" si="36"/>
        <v>54.28462505896737</v>
      </c>
      <c r="G93" s="37" t="e">
        <f t="shared" si="37"/>
        <v>#NAME?</v>
      </c>
      <c r="H93" s="57" t="e">
        <f t="shared" si="31"/>
        <v>#NAME?</v>
      </c>
      <c r="I93" s="57" t="e">
        <f t="shared" si="38"/>
        <v>#NAME?</v>
      </c>
      <c r="J93" s="57" t="e">
        <f t="shared" si="39"/>
        <v>#NAME?</v>
      </c>
      <c r="K93" s="58" t="e">
        <f t="shared" si="40"/>
        <v>#NAME?</v>
      </c>
      <c r="M93" s="26">
        <f t="shared" si="41"/>
        <v>46.41074471196776</v>
      </c>
      <c r="N93" s="37" t="e">
        <f t="shared" si="42"/>
        <v>#NAME?</v>
      </c>
      <c r="O93" s="57" t="e">
        <f t="shared" si="28"/>
        <v>#NAME?</v>
      </c>
      <c r="P93" s="57" t="e">
        <f t="shared" si="43"/>
        <v>#NAME?</v>
      </c>
      <c r="Q93" s="57" t="e">
        <f t="shared" si="44"/>
        <v>#NAME?</v>
      </c>
      <c r="R93" s="58" t="e">
        <f t="shared" si="45"/>
        <v>#NAME?</v>
      </c>
      <c r="T93" s="132" t="e">
        <f t="shared" si="17"/>
        <v>#NAME?</v>
      </c>
      <c r="U93" s="58" t="e">
        <f t="shared" si="18"/>
        <v>#NAME?</v>
      </c>
    </row>
    <row r="94" spans="1:21" ht="12.75">
      <c r="A94" s="52">
        <f ca="1" t="shared" si="34"/>
        <v>0.47050853761061756</v>
      </c>
      <c r="B94" s="48">
        <f t="shared" si="35"/>
        <v>-0.07399159239382391</v>
      </c>
      <c r="D94" s="2">
        <v>48</v>
      </c>
      <c r="E94" s="35">
        <f t="shared" si="21"/>
        <v>0.13150684931506848</v>
      </c>
      <c r="F94" s="26">
        <f t="shared" si="36"/>
        <v>54.24705206621403</v>
      </c>
      <c r="G94" s="37" t="e">
        <f t="shared" si="37"/>
        <v>#NAME?</v>
      </c>
      <c r="H94" s="57" t="e">
        <f t="shared" si="31"/>
        <v>#NAME?</v>
      </c>
      <c r="I94" s="57" t="e">
        <f t="shared" si="38"/>
        <v>#NAME?</v>
      </c>
      <c r="J94" s="57" t="e">
        <f t="shared" si="39"/>
        <v>#NAME?</v>
      </c>
      <c r="K94" s="58" t="e">
        <f t="shared" si="40"/>
        <v>#NAME?</v>
      </c>
      <c r="M94" s="26">
        <f t="shared" si="41"/>
        <v>46.45052513900881</v>
      </c>
      <c r="N94" s="37" t="e">
        <f t="shared" si="42"/>
        <v>#NAME?</v>
      </c>
      <c r="O94" s="57" t="e">
        <f t="shared" si="28"/>
        <v>#NAME?</v>
      </c>
      <c r="P94" s="57" t="e">
        <f t="shared" si="43"/>
        <v>#NAME?</v>
      </c>
      <c r="Q94" s="57" t="e">
        <f t="shared" si="44"/>
        <v>#NAME?</v>
      </c>
      <c r="R94" s="58" t="e">
        <f t="shared" si="45"/>
        <v>#NAME?</v>
      </c>
      <c r="T94" s="132" t="e">
        <f t="shared" si="17"/>
        <v>#NAME?</v>
      </c>
      <c r="U94" s="58" t="e">
        <f t="shared" si="18"/>
        <v>#NAME?</v>
      </c>
    </row>
    <row r="95" spans="1:21" ht="12.75">
      <c r="A95" s="52">
        <f ca="1" t="shared" si="34"/>
        <v>0.10649178784887298</v>
      </c>
      <c r="B95" s="48">
        <f t="shared" si="35"/>
        <v>-1.2454032052553337</v>
      </c>
      <c r="D95" s="2">
        <v>49</v>
      </c>
      <c r="E95" s="35">
        <f t="shared" si="21"/>
        <v>0.13424657534246576</v>
      </c>
      <c r="F95" s="26">
        <f t="shared" si="36"/>
        <v>53.54879885590472</v>
      </c>
      <c r="G95" s="37" t="e">
        <f t="shared" si="37"/>
        <v>#NAME?</v>
      </c>
      <c r="H95" s="57" t="e">
        <f t="shared" si="31"/>
        <v>#NAME?</v>
      </c>
      <c r="I95" s="57" t="e">
        <f t="shared" si="38"/>
        <v>#NAME?</v>
      </c>
      <c r="J95" s="57" t="e">
        <f t="shared" si="39"/>
        <v>#NAME?</v>
      </c>
      <c r="K95" s="58" t="e">
        <f t="shared" si="40"/>
        <v>#NAME?</v>
      </c>
      <c r="M95" s="26">
        <f t="shared" si="41"/>
        <v>47.06395583050694</v>
      </c>
      <c r="N95" s="37" t="e">
        <f t="shared" si="42"/>
        <v>#NAME?</v>
      </c>
      <c r="O95" s="57" t="e">
        <f t="shared" si="28"/>
        <v>#NAME?</v>
      </c>
      <c r="P95" s="57" t="e">
        <f t="shared" si="43"/>
        <v>#NAME?</v>
      </c>
      <c r="Q95" s="57" t="e">
        <f t="shared" si="44"/>
        <v>#NAME?</v>
      </c>
      <c r="R95" s="58" t="e">
        <f t="shared" si="45"/>
        <v>#NAME?</v>
      </c>
      <c r="T95" s="132" t="e">
        <f t="shared" si="17"/>
        <v>#NAME?</v>
      </c>
      <c r="U95" s="58" t="e">
        <f t="shared" si="18"/>
        <v>#NAME?</v>
      </c>
    </row>
    <row r="96" spans="1:21" ht="12.75">
      <c r="A96" s="52">
        <f ca="1" t="shared" si="34"/>
        <v>0.9077850582721808</v>
      </c>
      <c r="B96" s="48">
        <f t="shared" si="35"/>
        <v>1.3272382491332282</v>
      </c>
      <c r="D96" s="2">
        <v>50</v>
      </c>
      <c r="E96" s="35">
        <f t="shared" si="21"/>
        <v>0.136986301369863</v>
      </c>
      <c r="F96" s="26">
        <f t="shared" si="36"/>
        <v>54.302470498013086</v>
      </c>
      <c r="G96" s="37" t="e">
        <f t="shared" si="37"/>
        <v>#NAME?</v>
      </c>
      <c r="H96" s="57" t="e">
        <f t="shared" si="31"/>
        <v>#NAME?</v>
      </c>
      <c r="I96" s="57" t="e">
        <f t="shared" si="38"/>
        <v>#NAME?</v>
      </c>
      <c r="J96" s="57" t="e">
        <f t="shared" si="39"/>
        <v>#NAME?</v>
      </c>
      <c r="K96" s="58" t="e">
        <f t="shared" si="40"/>
        <v>#NAME?</v>
      </c>
      <c r="M96" s="26">
        <f t="shared" si="41"/>
        <v>46.41837834499007</v>
      </c>
      <c r="N96" s="37" t="e">
        <f t="shared" si="42"/>
        <v>#NAME?</v>
      </c>
      <c r="O96" s="57" t="e">
        <f t="shared" si="28"/>
        <v>#NAME?</v>
      </c>
      <c r="P96" s="57" t="e">
        <f t="shared" si="43"/>
        <v>#NAME?</v>
      </c>
      <c r="Q96" s="57" t="e">
        <f t="shared" si="44"/>
        <v>#NAME?</v>
      </c>
      <c r="R96" s="58" t="e">
        <f t="shared" si="45"/>
        <v>#NAME?</v>
      </c>
      <c r="T96" s="132" t="e">
        <f t="shared" si="17"/>
        <v>#NAME?</v>
      </c>
      <c r="U96" s="58" t="e">
        <f t="shared" si="18"/>
        <v>#NAME?</v>
      </c>
    </row>
    <row r="97" spans="1:21" ht="12.75">
      <c r="A97" s="52">
        <f ca="1" t="shared" si="34"/>
        <v>0.6768262288523358</v>
      </c>
      <c r="B97" s="48">
        <f t="shared" si="35"/>
        <v>0.4588421244175126</v>
      </c>
      <c r="D97" s="2">
        <v>51</v>
      </c>
      <c r="E97" s="35">
        <f t="shared" si="21"/>
        <v>0.13972602739726028</v>
      </c>
      <c r="F97" s="26">
        <f t="shared" si="36"/>
        <v>54.568418179462306</v>
      </c>
      <c r="G97" s="37" t="e">
        <f t="shared" si="37"/>
        <v>#NAME?</v>
      </c>
      <c r="H97" s="57" t="e">
        <f t="shared" si="31"/>
        <v>#NAME?</v>
      </c>
      <c r="I97" s="57" t="e">
        <f t="shared" si="38"/>
        <v>#NAME?</v>
      </c>
      <c r="J97" s="57" t="e">
        <f t="shared" si="39"/>
        <v>#NAME?</v>
      </c>
      <c r="K97" s="58" t="e">
        <f t="shared" si="40"/>
        <v>#NAME?</v>
      </c>
      <c r="M97" s="26">
        <f t="shared" si="41"/>
        <v>46.19974500596983</v>
      </c>
      <c r="N97" s="37" t="e">
        <f t="shared" si="42"/>
        <v>#NAME?</v>
      </c>
      <c r="O97" s="57" t="e">
        <f t="shared" si="28"/>
        <v>#NAME?</v>
      </c>
      <c r="P97" s="57" t="e">
        <f t="shared" si="43"/>
        <v>#NAME?</v>
      </c>
      <c r="Q97" s="57" t="e">
        <f t="shared" si="44"/>
        <v>#NAME?</v>
      </c>
      <c r="R97" s="58" t="e">
        <f t="shared" si="45"/>
        <v>#NAME?</v>
      </c>
      <c r="T97" s="132" t="e">
        <f t="shared" si="17"/>
        <v>#NAME?</v>
      </c>
      <c r="U97" s="58" t="e">
        <f t="shared" si="18"/>
        <v>#NAME?</v>
      </c>
    </row>
    <row r="98" spans="1:21" ht="12.75">
      <c r="A98" s="52">
        <f ca="1" t="shared" si="34"/>
        <v>0.8666455594981188</v>
      </c>
      <c r="B98" s="48">
        <f t="shared" si="35"/>
        <v>1.1106735738876412</v>
      </c>
      <c r="D98" s="2">
        <v>52</v>
      </c>
      <c r="E98" s="35">
        <f t="shared" si="21"/>
        <v>0.14246575342465753</v>
      </c>
      <c r="F98" s="26">
        <f t="shared" si="36"/>
        <v>55.21112914653934</v>
      </c>
      <c r="G98" s="37" t="e">
        <f t="shared" si="37"/>
        <v>#NAME?</v>
      </c>
      <c r="H98" s="57" t="e">
        <f t="shared" si="31"/>
        <v>#NAME?</v>
      </c>
      <c r="I98" s="57" t="e">
        <f t="shared" si="38"/>
        <v>#NAME?</v>
      </c>
      <c r="J98" s="57" t="e">
        <f t="shared" si="39"/>
        <v>#NAME?</v>
      </c>
      <c r="K98" s="58" t="e">
        <f t="shared" si="40"/>
        <v>#NAME?</v>
      </c>
      <c r="M98" s="26">
        <f t="shared" si="41"/>
        <v>45.669441958475275</v>
      </c>
      <c r="N98" s="37" t="e">
        <f t="shared" si="42"/>
        <v>#NAME?</v>
      </c>
      <c r="O98" s="57" t="e">
        <f t="shared" si="28"/>
        <v>#NAME?</v>
      </c>
      <c r="P98" s="57" t="e">
        <f t="shared" si="43"/>
        <v>#NAME?</v>
      </c>
      <c r="Q98" s="57" t="e">
        <f t="shared" si="44"/>
        <v>#NAME?</v>
      </c>
      <c r="R98" s="58" t="e">
        <f t="shared" si="45"/>
        <v>#NAME?</v>
      </c>
      <c r="T98" s="132" t="e">
        <f t="shared" si="17"/>
        <v>#NAME?</v>
      </c>
      <c r="U98" s="58" t="e">
        <f t="shared" si="18"/>
        <v>#NAME?</v>
      </c>
    </row>
    <row r="99" spans="1:21" ht="12.75">
      <c r="A99" s="52">
        <f ca="1" t="shared" si="34"/>
        <v>0.3114904498810806</v>
      </c>
      <c r="B99" s="48">
        <f t="shared" si="35"/>
        <v>-0.4916300449103258</v>
      </c>
      <c r="D99" s="2">
        <v>53</v>
      </c>
      <c r="E99" s="35">
        <f t="shared" si="21"/>
        <v>0.14520547945205478</v>
      </c>
      <c r="F99" s="26">
        <f t="shared" si="36"/>
        <v>54.93222327246887</v>
      </c>
      <c r="G99" s="37" t="e">
        <f t="shared" si="37"/>
        <v>#NAME?</v>
      </c>
      <c r="H99" s="57" t="e">
        <f t="shared" si="31"/>
        <v>#NAME?</v>
      </c>
      <c r="I99" s="57" t="e">
        <f t="shared" si="38"/>
        <v>#NAME?</v>
      </c>
      <c r="J99" s="57" t="e">
        <f t="shared" si="39"/>
        <v>#NAME?</v>
      </c>
      <c r="K99" s="58" t="e">
        <f t="shared" si="40"/>
        <v>#NAME?</v>
      </c>
      <c r="M99" s="26">
        <f t="shared" si="41"/>
        <v>45.90886420881452</v>
      </c>
      <c r="N99" s="37" t="e">
        <f t="shared" si="42"/>
        <v>#NAME?</v>
      </c>
      <c r="O99" s="57" t="e">
        <f t="shared" si="28"/>
        <v>#NAME?</v>
      </c>
      <c r="P99" s="57" t="e">
        <f t="shared" si="43"/>
        <v>#NAME?</v>
      </c>
      <c r="Q99" s="57" t="e">
        <f t="shared" si="44"/>
        <v>#NAME?</v>
      </c>
      <c r="R99" s="58" t="e">
        <f t="shared" si="45"/>
        <v>#NAME?</v>
      </c>
      <c r="T99" s="132" t="e">
        <f t="shared" si="17"/>
        <v>#NAME?</v>
      </c>
      <c r="U99" s="58" t="e">
        <f t="shared" si="18"/>
        <v>#NAME?</v>
      </c>
    </row>
    <row r="100" spans="1:21" ht="12.75">
      <c r="A100" s="52">
        <f ca="1" t="shared" si="34"/>
        <v>0.14257495198422457</v>
      </c>
      <c r="B100" s="48">
        <f t="shared" si="35"/>
        <v>-1.0688219559396832</v>
      </c>
      <c r="D100" s="2">
        <v>54</v>
      </c>
      <c r="E100" s="35">
        <f t="shared" si="21"/>
        <v>0.14794520547945206</v>
      </c>
      <c r="F100" s="26">
        <f t="shared" si="36"/>
        <v>54.325480626711474</v>
      </c>
      <c r="G100" s="37" t="e">
        <f t="shared" si="37"/>
        <v>#NAME?</v>
      </c>
      <c r="H100" s="57" t="e">
        <f t="shared" si="31"/>
        <v>#NAME?</v>
      </c>
      <c r="I100" s="57" t="e">
        <f t="shared" si="38"/>
        <v>#NAME?</v>
      </c>
      <c r="J100" s="57" t="e">
        <f t="shared" si="39"/>
        <v>#NAME?</v>
      </c>
      <c r="K100" s="58" t="e">
        <f t="shared" si="40"/>
        <v>#NAME?</v>
      </c>
      <c r="M100" s="26">
        <f t="shared" si="41"/>
        <v>46.42923613075545</v>
      </c>
      <c r="N100" s="37" t="e">
        <f t="shared" si="42"/>
        <v>#NAME?</v>
      </c>
      <c r="O100" s="57" t="e">
        <f t="shared" si="28"/>
        <v>#NAME?</v>
      </c>
      <c r="P100" s="57" t="e">
        <f t="shared" si="43"/>
        <v>#NAME?</v>
      </c>
      <c r="Q100" s="57" t="e">
        <f t="shared" si="44"/>
        <v>#NAME?</v>
      </c>
      <c r="R100" s="58" t="e">
        <f t="shared" si="45"/>
        <v>#NAME?</v>
      </c>
      <c r="T100" s="132" t="e">
        <f t="shared" si="17"/>
        <v>#NAME?</v>
      </c>
      <c r="U100" s="58" t="e">
        <f t="shared" si="18"/>
        <v>#NAME?</v>
      </c>
    </row>
    <row r="101" spans="1:21" ht="12.75">
      <c r="A101" s="52">
        <f ca="1" t="shared" si="34"/>
        <v>0.4880410794689994</v>
      </c>
      <c r="B101" s="48">
        <f t="shared" si="35"/>
        <v>-0.029981059213577736</v>
      </c>
      <c r="D101" s="2">
        <v>55</v>
      </c>
      <c r="E101" s="35">
        <f t="shared" si="21"/>
        <v>0.1506849315068493</v>
      </c>
      <c r="F101" s="26">
        <f t="shared" si="36"/>
        <v>54.312896810397454</v>
      </c>
      <c r="G101" s="37" t="e">
        <f t="shared" si="37"/>
        <v>#NAME?</v>
      </c>
      <c r="H101" s="57" t="e">
        <f t="shared" si="31"/>
        <v>#NAME?</v>
      </c>
      <c r="I101" s="57" t="e">
        <f t="shared" si="38"/>
        <v>#NAME?</v>
      </c>
      <c r="J101" s="57" t="e">
        <f t="shared" si="39"/>
        <v>#NAME?</v>
      </c>
      <c r="K101" s="58" t="e">
        <f t="shared" si="40"/>
        <v>#NAME?</v>
      </c>
      <c r="M101" s="26">
        <f t="shared" si="41"/>
        <v>46.44762797183315</v>
      </c>
      <c r="N101" s="37" t="e">
        <f t="shared" si="42"/>
        <v>#NAME?</v>
      </c>
      <c r="O101" s="57" t="e">
        <f t="shared" si="28"/>
        <v>#NAME?</v>
      </c>
      <c r="P101" s="57" t="e">
        <f t="shared" si="43"/>
        <v>#NAME?</v>
      </c>
      <c r="Q101" s="57" t="e">
        <f t="shared" si="44"/>
        <v>#NAME?</v>
      </c>
      <c r="R101" s="58" t="e">
        <f t="shared" si="45"/>
        <v>#NAME?</v>
      </c>
      <c r="T101" s="132" t="e">
        <f t="shared" si="17"/>
        <v>#NAME?</v>
      </c>
      <c r="U101" s="58" t="e">
        <f t="shared" si="18"/>
        <v>#NAME?</v>
      </c>
    </row>
    <row r="102" spans="1:21" ht="12.75">
      <c r="A102" s="52">
        <f ca="1" t="shared" si="34"/>
        <v>0.6281433563701808</v>
      </c>
      <c r="B102" s="48">
        <f t="shared" si="35"/>
        <v>0.3269399724747536</v>
      </c>
      <c r="D102" s="2">
        <v>56</v>
      </c>
      <c r="E102" s="35">
        <f t="shared" si="21"/>
        <v>0.15342465753424658</v>
      </c>
      <c r="F102" s="26">
        <f t="shared" si="36"/>
        <v>54.50358421376216</v>
      </c>
      <c r="G102" s="37" t="e">
        <f t="shared" si="37"/>
        <v>#NAME?</v>
      </c>
      <c r="H102" s="57" t="e">
        <f t="shared" si="31"/>
        <v>#NAME?</v>
      </c>
      <c r="I102" s="57" t="e">
        <f t="shared" si="38"/>
        <v>#NAME?</v>
      </c>
      <c r="J102" s="57" t="e">
        <f t="shared" si="39"/>
        <v>#NAME?</v>
      </c>
      <c r="K102" s="58" t="e">
        <f t="shared" si="40"/>
        <v>#NAME?</v>
      </c>
      <c r="M102" s="26">
        <f t="shared" si="41"/>
        <v>46.29273444810958</v>
      </c>
      <c r="N102" s="37" t="e">
        <f t="shared" si="42"/>
        <v>#NAME?</v>
      </c>
      <c r="O102" s="57" t="e">
        <f t="shared" si="28"/>
        <v>#NAME?</v>
      </c>
      <c r="P102" s="57" t="e">
        <f t="shared" si="43"/>
        <v>#NAME?</v>
      </c>
      <c r="Q102" s="57" t="e">
        <f t="shared" si="44"/>
        <v>#NAME?</v>
      </c>
      <c r="R102" s="58" t="e">
        <f t="shared" si="45"/>
        <v>#NAME?</v>
      </c>
      <c r="T102" s="132" t="e">
        <f t="shared" si="17"/>
        <v>#NAME?</v>
      </c>
      <c r="U102" s="58" t="e">
        <f t="shared" si="18"/>
        <v>#NAME?</v>
      </c>
    </row>
    <row r="103" spans="1:21" ht="12.75">
      <c r="A103" s="52">
        <f ca="1" t="shared" si="34"/>
        <v>0.6018581677384917</v>
      </c>
      <c r="B103" s="48">
        <f t="shared" si="35"/>
        <v>0.25815969241390224</v>
      </c>
      <c r="D103" s="2">
        <v>57</v>
      </c>
      <c r="E103" s="35">
        <f t="shared" si="21"/>
        <v>0.15616438356164383</v>
      </c>
      <c r="F103" s="26">
        <f t="shared" si="36"/>
        <v>54.655573558540375</v>
      </c>
      <c r="G103" s="37" t="e">
        <f t="shared" si="37"/>
        <v>#NAME?</v>
      </c>
      <c r="H103" s="57" t="e">
        <f t="shared" si="31"/>
        <v>#NAME?</v>
      </c>
      <c r="I103" s="57" t="e">
        <f t="shared" si="38"/>
        <v>#NAME?</v>
      </c>
      <c r="J103" s="57" t="e">
        <f t="shared" si="39"/>
        <v>#NAME?</v>
      </c>
      <c r="K103" s="58" t="e">
        <f t="shared" si="40"/>
        <v>#NAME?</v>
      </c>
      <c r="M103" s="26">
        <f t="shared" si="41"/>
        <v>46.17159019126506</v>
      </c>
      <c r="N103" s="37" t="e">
        <f t="shared" si="42"/>
        <v>#NAME?</v>
      </c>
      <c r="O103" s="57" t="e">
        <f t="shared" si="28"/>
        <v>#NAME?</v>
      </c>
      <c r="P103" s="57" t="e">
        <f t="shared" si="43"/>
        <v>#NAME?</v>
      </c>
      <c r="Q103" s="57" t="e">
        <f t="shared" si="44"/>
        <v>#NAME?</v>
      </c>
      <c r="R103" s="58" t="e">
        <f t="shared" si="45"/>
        <v>#NAME?</v>
      </c>
      <c r="T103" s="132" t="e">
        <f t="shared" si="17"/>
        <v>#NAME?</v>
      </c>
      <c r="U103" s="58" t="e">
        <f t="shared" si="18"/>
        <v>#NAME?</v>
      </c>
    </row>
    <row r="104" spans="1:21" ht="12.75">
      <c r="A104" s="52">
        <f ca="1" t="shared" si="34"/>
        <v>0.44297397674309547</v>
      </c>
      <c r="B104" s="48">
        <f t="shared" si="35"/>
        <v>-0.14343334023977727</v>
      </c>
      <c r="D104" s="2">
        <v>58</v>
      </c>
      <c r="E104" s="35">
        <f t="shared" si="21"/>
        <v>0.1589041095890411</v>
      </c>
      <c r="F104" s="26">
        <f t="shared" si="36"/>
        <v>54.57805390423132</v>
      </c>
      <c r="G104" s="37" t="e">
        <f t="shared" si="37"/>
        <v>#NAME?</v>
      </c>
      <c r="H104" s="57" t="e">
        <f t="shared" si="31"/>
        <v>#NAME?</v>
      </c>
      <c r="I104" s="57" t="e">
        <f t="shared" si="38"/>
        <v>#NAME?</v>
      </c>
      <c r="J104" s="57" t="e">
        <f t="shared" si="39"/>
        <v>#NAME?</v>
      </c>
      <c r="K104" s="58" t="e">
        <f t="shared" si="40"/>
        <v>#NAME?</v>
      </c>
      <c r="M104" s="26">
        <f t="shared" si="41"/>
        <v>46.24477102405873</v>
      </c>
      <c r="N104" s="37" t="e">
        <f t="shared" si="42"/>
        <v>#NAME?</v>
      </c>
      <c r="O104" s="57" t="e">
        <f t="shared" si="28"/>
        <v>#NAME?</v>
      </c>
      <c r="P104" s="57" t="e">
        <f t="shared" si="43"/>
        <v>#NAME?</v>
      </c>
      <c r="Q104" s="57" t="e">
        <f t="shared" si="44"/>
        <v>#NAME?</v>
      </c>
      <c r="R104" s="58" t="e">
        <f t="shared" si="45"/>
        <v>#NAME?</v>
      </c>
      <c r="T104" s="132" t="e">
        <f t="shared" si="17"/>
        <v>#NAME?</v>
      </c>
      <c r="U104" s="58" t="e">
        <f t="shared" si="18"/>
        <v>#NAME?</v>
      </c>
    </row>
    <row r="105" spans="1:21" ht="12.75">
      <c r="A105" s="52">
        <f ca="1" t="shared" si="34"/>
        <v>0.20801376365037882</v>
      </c>
      <c r="B105" s="48">
        <f t="shared" si="35"/>
        <v>-0.8133323621468733</v>
      </c>
      <c r="D105" s="2">
        <v>59</v>
      </c>
      <c r="E105" s="35">
        <f t="shared" si="21"/>
        <v>0.16164383561643836</v>
      </c>
      <c r="F105" s="26">
        <f t="shared" si="36"/>
        <v>54.1197778365062</v>
      </c>
      <c r="G105" s="37" t="e">
        <f t="shared" si="37"/>
        <v>#NAME?</v>
      </c>
      <c r="H105" s="57" t="e">
        <f t="shared" si="31"/>
        <v>#NAME?</v>
      </c>
      <c r="I105" s="57" t="e">
        <f t="shared" si="38"/>
        <v>#NAME?</v>
      </c>
      <c r="J105" s="57" t="e">
        <f t="shared" si="39"/>
        <v>#NAME?</v>
      </c>
      <c r="K105" s="58" t="e">
        <f t="shared" si="40"/>
        <v>#NAME?</v>
      </c>
      <c r="M105" s="26">
        <f t="shared" si="41"/>
        <v>46.6440299014977</v>
      </c>
      <c r="N105" s="37" t="e">
        <f t="shared" si="42"/>
        <v>#NAME?</v>
      </c>
      <c r="O105" s="57" t="e">
        <f t="shared" si="28"/>
        <v>#NAME?</v>
      </c>
      <c r="P105" s="57" t="e">
        <f t="shared" si="43"/>
        <v>#NAME?</v>
      </c>
      <c r="Q105" s="57" t="e">
        <f t="shared" si="44"/>
        <v>#NAME?</v>
      </c>
      <c r="R105" s="58" t="e">
        <f t="shared" si="45"/>
        <v>#NAME?</v>
      </c>
      <c r="T105" s="132" t="e">
        <f t="shared" si="17"/>
        <v>#NAME?</v>
      </c>
      <c r="U105" s="58" t="e">
        <f t="shared" si="18"/>
        <v>#NAME?</v>
      </c>
    </row>
    <row r="106" spans="1:21" ht="12.75">
      <c r="A106" s="52">
        <f ca="1" t="shared" si="34"/>
        <v>0.04781894825797951</v>
      </c>
      <c r="B106" s="48">
        <f t="shared" si="35"/>
        <v>-1.6663792726195967</v>
      </c>
      <c r="D106" s="2">
        <v>60</v>
      </c>
      <c r="E106" s="35">
        <f t="shared" si="21"/>
        <v>0.1643835616438356</v>
      </c>
      <c r="F106" s="26">
        <f t="shared" si="36"/>
        <v>53.18824613102108</v>
      </c>
      <c r="G106" s="37" t="e">
        <f t="shared" si="37"/>
        <v>#NAME?</v>
      </c>
      <c r="H106" s="57" t="e">
        <f t="shared" si="31"/>
        <v>#NAME?</v>
      </c>
      <c r="I106" s="57" t="e">
        <f t="shared" si="38"/>
        <v>#NAME?</v>
      </c>
      <c r="J106" s="57" t="e">
        <f t="shared" si="39"/>
        <v>#NAME?</v>
      </c>
      <c r="K106" s="58" t="e">
        <f t="shared" si="40"/>
        <v>#NAME?</v>
      </c>
      <c r="M106" s="26">
        <f t="shared" si="41"/>
        <v>47.46874953520301</v>
      </c>
      <c r="N106" s="37" t="e">
        <f t="shared" si="42"/>
        <v>#NAME?</v>
      </c>
      <c r="O106" s="57" t="e">
        <f t="shared" si="28"/>
        <v>#NAME?</v>
      </c>
      <c r="P106" s="57" t="e">
        <f t="shared" si="43"/>
        <v>#NAME?</v>
      </c>
      <c r="Q106" s="57" t="e">
        <f t="shared" si="44"/>
        <v>#NAME?</v>
      </c>
      <c r="R106" s="58" t="e">
        <f t="shared" si="45"/>
        <v>#NAME?</v>
      </c>
      <c r="T106" s="132" t="e">
        <f t="shared" si="17"/>
        <v>#NAME?</v>
      </c>
      <c r="U106" s="58" t="e">
        <f t="shared" si="18"/>
        <v>#NAME?</v>
      </c>
    </row>
    <row r="107" spans="1:21" ht="12.75">
      <c r="A107" s="52">
        <f ca="1" t="shared" si="34"/>
        <v>0.3875113986898045</v>
      </c>
      <c r="B107" s="48">
        <f t="shared" si="35"/>
        <v>-0.28581111130999537</v>
      </c>
      <c r="D107" s="2">
        <v>61</v>
      </c>
      <c r="E107" s="35">
        <f t="shared" si="21"/>
        <v>0.16712328767123288</v>
      </c>
      <c r="F107" s="26">
        <f t="shared" si="36"/>
        <v>53.03370309339952</v>
      </c>
      <c r="G107" s="37" t="e">
        <f t="shared" si="37"/>
        <v>#NAME?</v>
      </c>
      <c r="H107" s="57" t="e">
        <f t="shared" si="31"/>
        <v>#NAME?</v>
      </c>
      <c r="I107" s="57" t="e">
        <f t="shared" si="38"/>
        <v>#NAME?</v>
      </c>
      <c r="J107" s="57" t="e">
        <f t="shared" si="39"/>
        <v>#NAME?</v>
      </c>
      <c r="K107" s="58" t="e">
        <f t="shared" si="40"/>
        <v>#NAME?</v>
      </c>
      <c r="M107" s="26">
        <f t="shared" si="41"/>
        <v>47.61490246549829</v>
      </c>
      <c r="N107" s="37" t="e">
        <f t="shared" si="42"/>
        <v>#NAME?</v>
      </c>
      <c r="O107" s="57" t="e">
        <f t="shared" si="28"/>
        <v>#NAME?</v>
      </c>
      <c r="P107" s="57" t="e">
        <f t="shared" si="43"/>
        <v>#NAME?</v>
      </c>
      <c r="Q107" s="57" t="e">
        <f t="shared" si="44"/>
        <v>#NAME?</v>
      </c>
      <c r="R107" s="58" t="e">
        <f t="shared" si="45"/>
        <v>#NAME?</v>
      </c>
      <c r="T107" s="132" t="e">
        <f t="shared" si="17"/>
        <v>#NAME?</v>
      </c>
      <c r="U107" s="58" t="e">
        <f t="shared" si="18"/>
        <v>#NAME?</v>
      </c>
    </row>
    <row r="108" spans="1:21" ht="12.75">
      <c r="A108" s="52">
        <f ca="1" t="shared" si="34"/>
        <v>0.41365668755154855</v>
      </c>
      <c r="B108" s="48">
        <f t="shared" si="35"/>
        <v>-0.21814854442482473</v>
      </c>
      <c r="D108" s="2">
        <v>62</v>
      </c>
      <c r="E108" s="35">
        <f t="shared" si="21"/>
        <v>0.16986301369863013</v>
      </c>
      <c r="F108" s="26">
        <f t="shared" si="36"/>
        <v>52.91707826525722</v>
      </c>
      <c r="G108" s="37" t="e">
        <f t="shared" si="37"/>
        <v>#NAME?</v>
      </c>
      <c r="H108" s="57" t="e">
        <f t="shared" si="31"/>
        <v>#NAME?</v>
      </c>
      <c r="I108" s="57" t="e">
        <f t="shared" si="38"/>
        <v>#NAME?</v>
      </c>
      <c r="J108" s="57" t="e">
        <f t="shared" si="39"/>
        <v>#NAME?</v>
      </c>
      <c r="K108" s="58" t="e">
        <f t="shared" si="40"/>
        <v>#NAME?</v>
      </c>
      <c r="M108" s="26">
        <f t="shared" si="41"/>
        <v>47.7276867426096</v>
      </c>
      <c r="N108" s="37" t="e">
        <f t="shared" si="42"/>
        <v>#NAME?</v>
      </c>
      <c r="O108" s="57" t="e">
        <f t="shared" si="28"/>
        <v>#NAME?</v>
      </c>
      <c r="P108" s="57" t="e">
        <f t="shared" si="43"/>
        <v>#NAME?</v>
      </c>
      <c r="Q108" s="57" t="e">
        <f t="shared" si="44"/>
        <v>#NAME?</v>
      </c>
      <c r="R108" s="58" t="e">
        <f t="shared" si="45"/>
        <v>#NAME?</v>
      </c>
      <c r="T108" s="132" t="e">
        <f t="shared" si="17"/>
        <v>#NAME?</v>
      </c>
      <c r="U108" s="58" t="e">
        <f t="shared" si="18"/>
        <v>#NAME?</v>
      </c>
    </row>
    <row r="109" spans="1:21" ht="12.75">
      <c r="A109" s="52">
        <f ca="1" t="shared" si="34"/>
        <v>0.7856749383793413</v>
      </c>
      <c r="B109" s="48">
        <f t="shared" si="35"/>
        <v>0.7915036908180182</v>
      </c>
      <c r="D109" s="2">
        <v>63</v>
      </c>
      <c r="E109" s="35">
        <f t="shared" si="21"/>
        <v>0.1726027397260274</v>
      </c>
      <c r="F109" s="26">
        <f t="shared" si="36"/>
        <v>53.361747932587576</v>
      </c>
      <c r="G109" s="37" t="e">
        <f t="shared" si="37"/>
        <v>#NAME?</v>
      </c>
      <c r="H109" s="57" t="e">
        <f t="shared" si="31"/>
        <v>#NAME?</v>
      </c>
      <c r="I109" s="57" t="e">
        <f t="shared" si="38"/>
        <v>#NAME?</v>
      </c>
      <c r="J109" s="57" t="e">
        <f t="shared" si="39"/>
        <v>#NAME?</v>
      </c>
      <c r="K109" s="58" t="e">
        <f t="shared" si="40"/>
        <v>#NAME?</v>
      </c>
      <c r="M109" s="26">
        <f t="shared" si="41"/>
        <v>47.337747272041305</v>
      </c>
      <c r="N109" s="37" t="e">
        <f t="shared" si="42"/>
        <v>#NAME?</v>
      </c>
      <c r="O109" s="57" t="e">
        <f t="shared" si="28"/>
        <v>#NAME?</v>
      </c>
      <c r="P109" s="57" t="e">
        <f t="shared" si="43"/>
        <v>#NAME?</v>
      </c>
      <c r="Q109" s="57" t="e">
        <f t="shared" si="44"/>
        <v>#NAME?</v>
      </c>
      <c r="R109" s="58" t="e">
        <f t="shared" si="45"/>
        <v>#NAME?</v>
      </c>
      <c r="T109" s="132" t="e">
        <f t="shared" si="17"/>
        <v>#NAME?</v>
      </c>
      <c r="U109" s="58" t="e">
        <f t="shared" si="18"/>
        <v>#NAME?</v>
      </c>
    </row>
    <row r="110" spans="1:21" ht="12.75">
      <c r="A110" s="52">
        <f ca="1" t="shared" si="34"/>
        <v>0.4026695019427984</v>
      </c>
      <c r="B110" s="48">
        <f t="shared" si="35"/>
        <v>-0.24644341258018987</v>
      </c>
      <c r="D110" s="2">
        <v>64</v>
      </c>
      <c r="E110" s="35">
        <f t="shared" si="21"/>
        <v>0.17534246575342466</v>
      </c>
      <c r="F110" s="26">
        <f t="shared" si="36"/>
        <v>53.228632830034634</v>
      </c>
      <c r="G110" s="37" t="e">
        <f t="shared" si="37"/>
        <v>#NAME?</v>
      </c>
      <c r="H110" s="57" t="e">
        <f t="shared" si="31"/>
        <v>#NAME?</v>
      </c>
      <c r="I110" s="57" t="e">
        <f t="shared" si="38"/>
        <v>#NAME?</v>
      </c>
      <c r="J110" s="57" t="e">
        <f t="shared" si="39"/>
        <v>#NAME?</v>
      </c>
      <c r="K110" s="58" t="e">
        <f t="shared" si="40"/>
        <v>#NAME?</v>
      </c>
      <c r="M110" s="26">
        <f t="shared" si="41"/>
        <v>47.46393199317015</v>
      </c>
      <c r="N110" s="37" t="e">
        <f t="shared" si="42"/>
        <v>#NAME?</v>
      </c>
      <c r="O110" s="57" t="e">
        <f t="shared" si="28"/>
        <v>#NAME?</v>
      </c>
      <c r="P110" s="57" t="e">
        <f t="shared" si="43"/>
        <v>#NAME?</v>
      </c>
      <c r="Q110" s="57" t="e">
        <f t="shared" si="44"/>
        <v>#NAME?</v>
      </c>
      <c r="R110" s="58" t="e">
        <f t="shared" si="45"/>
        <v>#NAME?</v>
      </c>
      <c r="T110" s="132" t="e">
        <f aca="true" t="shared" si="46" ref="T110:T173">ABS(H110)</f>
        <v>#NAME?</v>
      </c>
      <c r="U110" s="58" t="e">
        <f aca="true" t="shared" si="47" ref="U110:U173">ABS(O110)</f>
        <v>#NAME?</v>
      </c>
    </row>
    <row r="111" spans="1:21" ht="12.75">
      <c r="A111" s="52">
        <f ca="1" t="shared" si="34"/>
        <v>0.6230927521687412</v>
      </c>
      <c r="B111" s="48">
        <f t="shared" si="35"/>
        <v>0.3136136438975028</v>
      </c>
      <c r="D111" s="2">
        <v>65</v>
      </c>
      <c r="E111" s="35">
        <f aca="true" t="shared" si="48" ref="E111:E174">D111/365</f>
        <v>0.1780821917808219</v>
      </c>
      <c r="F111" s="26">
        <f t="shared" si="36"/>
        <v>53.40806220057194</v>
      </c>
      <c r="G111" s="37" t="e">
        <f t="shared" si="37"/>
        <v>#NAME?</v>
      </c>
      <c r="H111" s="57" t="e">
        <f t="shared" si="31"/>
        <v>#NAME?</v>
      </c>
      <c r="I111" s="57" t="e">
        <f t="shared" si="38"/>
        <v>#NAME?</v>
      </c>
      <c r="J111" s="57" t="e">
        <f t="shared" si="39"/>
        <v>#NAME?</v>
      </c>
      <c r="K111" s="58" t="e">
        <f t="shared" si="40"/>
        <v>#NAME?</v>
      </c>
      <c r="M111" s="26">
        <f t="shared" si="41"/>
        <v>47.312249199774705</v>
      </c>
      <c r="N111" s="37" t="e">
        <f t="shared" si="42"/>
        <v>#NAME?</v>
      </c>
      <c r="O111" s="57" t="e">
        <f aca="true" t="shared" si="49" ref="O111:O174">(N111-N110)*$C$12</f>
        <v>#NAME?</v>
      </c>
      <c r="P111" s="57" t="e">
        <f t="shared" si="43"/>
        <v>#NAME?</v>
      </c>
      <c r="Q111" s="57" t="e">
        <f t="shared" si="44"/>
        <v>#NAME?</v>
      </c>
      <c r="R111" s="58" t="e">
        <f t="shared" si="45"/>
        <v>#NAME?</v>
      </c>
      <c r="T111" s="132" t="e">
        <f t="shared" si="46"/>
        <v>#NAME?</v>
      </c>
      <c r="U111" s="58" t="e">
        <f t="shared" si="47"/>
        <v>#NAME?</v>
      </c>
    </row>
    <row r="112" spans="1:21" ht="12.75">
      <c r="A112" s="52">
        <f ca="1" t="shared" si="34"/>
        <v>0.6978516729410439</v>
      </c>
      <c r="B112" s="48">
        <f t="shared" si="35"/>
        <v>0.5182316509328482</v>
      </c>
      <c r="D112" s="2">
        <v>66</v>
      </c>
      <c r="E112" s="35">
        <f t="shared" si="48"/>
        <v>0.18082191780821918</v>
      </c>
      <c r="F112" s="26">
        <f t="shared" si="36"/>
        <v>53.70300724370167</v>
      </c>
      <c r="G112" s="37" t="e">
        <f t="shared" si="37"/>
        <v>#NAME?</v>
      </c>
      <c r="H112" s="57" t="e">
        <f aca="true" t="shared" si="50" ref="H112:H175">(G112-G111)*$C$12</f>
        <v>#NAME?</v>
      </c>
      <c r="I112" s="57" t="e">
        <f t="shared" si="38"/>
        <v>#NAME?</v>
      </c>
      <c r="J112" s="57" t="e">
        <f t="shared" si="39"/>
        <v>#NAME?</v>
      </c>
      <c r="K112" s="58" t="e">
        <f t="shared" si="40"/>
        <v>#NAME?</v>
      </c>
      <c r="M112" s="26">
        <f t="shared" si="41"/>
        <v>47.060138444367006</v>
      </c>
      <c r="N112" s="37" t="e">
        <f t="shared" si="42"/>
        <v>#NAME?</v>
      </c>
      <c r="O112" s="57" t="e">
        <f t="shared" si="49"/>
        <v>#NAME?</v>
      </c>
      <c r="P112" s="57" t="e">
        <f t="shared" si="43"/>
        <v>#NAME?</v>
      </c>
      <c r="Q112" s="57" t="e">
        <f t="shared" si="44"/>
        <v>#NAME?</v>
      </c>
      <c r="R112" s="58" t="e">
        <f t="shared" si="45"/>
        <v>#NAME?</v>
      </c>
      <c r="T112" s="132" t="e">
        <f t="shared" si="46"/>
        <v>#NAME?</v>
      </c>
      <c r="U112" s="58" t="e">
        <f t="shared" si="47"/>
        <v>#NAME?</v>
      </c>
    </row>
    <row r="113" spans="1:21" ht="12.75">
      <c r="A113" s="52">
        <f ca="1" t="shared" si="34"/>
        <v>0.3252715949075866</v>
      </c>
      <c r="B113" s="48">
        <f t="shared" si="35"/>
        <v>-0.4530077098800883</v>
      </c>
      <c r="D113" s="2">
        <v>67</v>
      </c>
      <c r="E113" s="35">
        <f t="shared" si="48"/>
        <v>0.18356164383561643</v>
      </c>
      <c r="F113" s="26">
        <f t="shared" si="36"/>
        <v>53.453327559619304</v>
      </c>
      <c r="G113" s="37" t="e">
        <f t="shared" si="37"/>
        <v>#NAME?</v>
      </c>
      <c r="H113" s="57" t="e">
        <f t="shared" si="50"/>
        <v>#NAME?</v>
      </c>
      <c r="I113" s="57" t="e">
        <f t="shared" si="38"/>
        <v>#NAME?</v>
      </c>
      <c r="J113" s="57" t="e">
        <f t="shared" si="39"/>
        <v>#NAME?</v>
      </c>
      <c r="K113" s="58" t="e">
        <f t="shared" si="40"/>
        <v>#NAME?</v>
      </c>
      <c r="M113" s="26">
        <f t="shared" si="41"/>
        <v>47.28772832518058</v>
      </c>
      <c r="N113" s="37" t="e">
        <f t="shared" si="42"/>
        <v>#NAME?</v>
      </c>
      <c r="O113" s="57" t="e">
        <f t="shared" si="49"/>
        <v>#NAME?</v>
      </c>
      <c r="P113" s="57" t="e">
        <f t="shared" si="43"/>
        <v>#NAME?</v>
      </c>
      <c r="Q113" s="57" t="e">
        <f t="shared" si="44"/>
        <v>#NAME?</v>
      </c>
      <c r="R113" s="58" t="e">
        <f t="shared" si="45"/>
        <v>#NAME?</v>
      </c>
      <c r="T113" s="132" t="e">
        <f t="shared" si="46"/>
        <v>#NAME?</v>
      </c>
      <c r="U113" s="58" t="e">
        <f t="shared" si="47"/>
        <v>#NAME?</v>
      </c>
    </row>
    <row r="114" spans="1:21" ht="12.75">
      <c r="A114" s="52">
        <f ca="1" t="shared" si="34"/>
        <v>0.8574199964611117</v>
      </c>
      <c r="B114" s="48">
        <f t="shared" si="35"/>
        <v>1.0687995390923262</v>
      </c>
      <c r="D114" s="2">
        <v>68</v>
      </c>
      <c r="E114" s="35">
        <f t="shared" si="48"/>
        <v>0.1863013698630137</v>
      </c>
      <c r="F114" s="26">
        <f t="shared" si="36"/>
        <v>54.059202457021364</v>
      </c>
      <c r="G114" s="37" t="e">
        <f t="shared" si="37"/>
        <v>#NAME?</v>
      </c>
      <c r="H114" s="57" t="e">
        <f t="shared" si="50"/>
        <v>#NAME?</v>
      </c>
      <c r="I114" s="57" t="e">
        <f t="shared" si="38"/>
        <v>#NAME?</v>
      </c>
      <c r="J114" s="57" t="e">
        <f t="shared" si="39"/>
        <v>#NAME?</v>
      </c>
      <c r="K114" s="58" t="e">
        <f t="shared" si="40"/>
        <v>#NAME?</v>
      </c>
      <c r="M114" s="26">
        <f t="shared" si="41"/>
        <v>46.7654323605279</v>
      </c>
      <c r="N114" s="37" t="e">
        <f t="shared" si="42"/>
        <v>#NAME?</v>
      </c>
      <c r="O114" s="57" t="e">
        <f t="shared" si="49"/>
        <v>#NAME?</v>
      </c>
      <c r="P114" s="57" t="e">
        <f t="shared" si="43"/>
        <v>#NAME?</v>
      </c>
      <c r="Q114" s="57" t="e">
        <f t="shared" si="44"/>
        <v>#NAME?</v>
      </c>
      <c r="R114" s="58" t="e">
        <f t="shared" si="45"/>
        <v>#NAME?</v>
      </c>
      <c r="T114" s="132" t="e">
        <f t="shared" si="46"/>
        <v>#NAME?</v>
      </c>
      <c r="U114" s="58" t="e">
        <f t="shared" si="47"/>
        <v>#NAME?</v>
      </c>
    </row>
    <row r="115" spans="1:21" ht="12.75">
      <c r="A115" s="52">
        <f ca="1" t="shared" si="34"/>
        <v>0.4299266773090131</v>
      </c>
      <c r="B115" s="48">
        <f t="shared" si="35"/>
        <v>-0.17656084163115227</v>
      </c>
      <c r="D115" s="2">
        <v>69</v>
      </c>
      <c r="E115" s="35">
        <f t="shared" si="48"/>
        <v>0.18904109589041096</v>
      </c>
      <c r="F115" s="26">
        <f t="shared" si="36"/>
        <v>53.96381105377056</v>
      </c>
      <c r="G115" s="37" t="e">
        <f t="shared" si="37"/>
        <v>#NAME?</v>
      </c>
      <c r="H115" s="57" t="e">
        <f t="shared" si="50"/>
        <v>#NAME?</v>
      </c>
      <c r="I115" s="57" t="e">
        <f t="shared" si="38"/>
        <v>#NAME?</v>
      </c>
      <c r="J115" s="57" t="e">
        <f t="shared" si="39"/>
        <v>#NAME?</v>
      </c>
      <c r="K115" s="58" t="e">
        <f t="shared" si="40"/>
        <v>#NAME?</v>
      </c>
      <c r="M115" s="26">
        <f t="shared" si="41"/>
        <v>46.85580093693647</v>
      </c>
      <c r="N115" s="37" t="e">
        <f t="shared" si="42"/>
        <v>#NAME?</v>
      </c>
      <c r="O115" s="57" t="e">
        <f t="shared" si="49"/>
        <v>#NAME?</v>
      </c>
      <c r="P115" s="57" t="e">
        <f t="shared" si="43"/>
        <v>#NAME?</v>
      </c>
      <c r="Q115" s="57" t="e">
        <f t="shared" si="44"/>
        <v>#NAME?</v>
      </c>
      <c r="R115" s="58" t="e">
        <f t="shared" si="45"/>
        <v>#NAME?</v>
      </c>
      <c r="T115" s="132" t="e">
        <f t="shared" si="46"/>
        <v>#NAME?</v>
      </c>
      <c r="U115" s="58" t="e">
        <f t="shared" si="47"/>
        <v>#NAME?</v>
      </c>
    </row>
    <row r="116" spans="1:21" ht="12.75">
      <c r="A116" s="52">
        <f ca="1" t="shared" si="34"/>
        <v>0.33350679236248887</v>
      </c>
      <c r="B116" s="48">
        <f t="shared" si="35"/>
        <v>-0.4302502879527095</v>
      </c>
      <c r="D116" s="2">
        <v>70</v>
      </c>
      <c r="E116" s="35">
        <f t="shared" si="48"/>
        <v>0.1917808219178082</v>
      </c>
      <c r="F116" s="26">
        <f t="shared" si="36"/>
        <v>53.725716675644236</v>
      </c>
      <c r="G116" s="37" t="e">
        <f t="shared" si="37"/>
        <v>#NAME?</v>
      </c>
      <c r="H116" s="57" t="e">
        <f t="shared" si="50"/>
        <v>#NAME?</v>
      </c>
      <c r="I116" s="57" t="e">
        <f t="shared" si="38"/>
        <v>#NAME?</v>
      </c>
      <c r="J116" s="57" t="e">
        <f t="shared" si="39"/>
        <v>#NAME?</v>
      </c>
      <c r="K116" s="58" t="e">
        <f t="shared" si="40"/>
        <v>#NAME?</v>
      </c>
      <c r="M116" s="26">
        <f t="shared" si="41"/>
        <v>47.071187243405895</v>
      </c>
      <c r="N116" s="37" t="e">
        <f t="shared" si="42"/>
        <v>#NAME?</v>
      </c>
      <c r="O116" s="57" t="e">
        <f t="shared" si="49"/>
        <v>#NAME?</v>
      </c>
      <c r="P116" s="57" t="e">
        <f t="shared" si="43"/>
        <v>#NAME?</v>
      </c>
      <c r="Q116" s="57" t="e">
        <f t="shared" si="44"/>
        <v>#NAME?</v>
      </c>
      <c r="R116" s="58" t="e">
        <f t="shared" si="45"/>
        <v>#NAME?</v>
      </c>
      <c r="T116" s="132" t="e">
        <f t="shared" si="46"/>
        <v>#NAME?</v>
      </c>
      <c r="U116" s="58" t="e">
        <f t="shared" si="47"/>
        <v>#NAME?</v>
      </c>
    </row>
    <row r="117" spans="1:21" ht="12.75">
      <c r="A117" s="52">
        <f ca="1" t="shared" si="34"/>
        <v>0.6296991984623047</v>
      </c>
      <c r="B117" s="48">
        <f t="shared" si="35"/>
        <v>0.33105677207240547</v>
      </c>
      <c r="D117" s="2">
        <v>71</v>
      </c>
      <c r="E117" s="35">
        <f t="shared" si="48"/>
        <v>0.19452054794520549</v>
      </c>
      <c r="F117" s="26">
        <f t="shared" si="36"/>
        <v>53.916666121955124</v>
      </c>
      <c r="G117" s="37" t="e">
        <f t="shared" si="37"/>
        <v>#NAME?</v>
      </c>
      <c r="H117" s="57" t="e">
        <f t="shared" si="50"/>
        <v>#NAME?</v>
      </c>
      <c r="I117" s="57" t="e">
        <f t="shared" si="38"/>
        <v>#NAME?</v>
      </c>
      <c r="J117" s="57" t="e">
        <f t="shared" si="39"/>
        <v>#NAME?</v>
      </c>
      <c r="K117" s="58" t="e">
        <f t="shared" si="40"/>
        <v>#NAME?</v>
      </c>
      <c r="M117" s="26">
        <f t="shared" si="41"/>
        <v>46.912192473704934</v>
      </c>
      <c r="N117" s="37" t="e">
        <f t="shared" si="42"/>
        <v>#NAME?</v>
      </c>
      <c r="O117" s="57" t="e">
        <f t="shared" si="49"/>
        <v>#NAME?</v>
      </c>
      <c r="P117" s="57" t="e">
        <f t="shared" si="43"/>
        <v>#NAME?</v>
      </c>
      <c r="Q117" s="57" t="e">
        <f t="shared" si="44"/>
        <v>#NAME?</v>
      </c>
      <c r="R117" s="58" t="e">
        <f t="shared" si="45"/>
        <v>#NAME?</v>
      </c>
      <c r="T117" s="132" t="e">
        <f t="shared" si="46"/>
        <v>#NAME?</v>
      </c>
      <c r="U117" s="58" t="e">
        <f t="shared" si="47"/>
        <v>#NAME?</v>
      </c>
    </row>
    <row r="118" spans="1:21" ht="12.75">
      <c r="A118" s="52">
        <f ca="1" t="shared" si="34"/>
        <v>0.5334001608393149</v>
      </c>
      <c r="B118" s="48">
        <f t="shared" si="35"/>
        <v>0.08381983392338316</v>
      </c>
      <c r="D118" s="2">
        <v>72</v>
      </c>
      <c r="E118" s="35">
        <f t="shared" si="48"/>
        <v>0.19726027397260273</v>
      </c>
      <c r="F118" s="26">
        <f t="shared" si="36"/>
        <v>53.968432511908546</v>
      </c>
      <c r="G118" s="37" t="e">
        <f t="shared" si="37"/>
        <v>#NAME?</v>
      </c>
      <c r="H118" s="57" t="e">
        <f t="shared" si="50"/>
        <v>#NAME?</v>
      </c>
      <c r="I118" s="57" t="e">
        <f t="shared" si="38"/>
        <v>#NAME?</v>
      </c>
      <c r="J118" s="57" t="e">
        <f t="shared" si="39"/>
        <v>#NAME?</v>
      </c>
      <c r="K118" s="58" t="e">
        <f t="shared" si="40"/>
        <v>#NAME?</v>
      </c>
      <c r="M118" s="26">
        <f t="shared" si="41"/>
        <v>46.87489924173007</v>
      </c>
      <c r="N118" s="37" t="e">
        <f t="shared" si="42"/>
        <v>#NAME?</v>
      </c>
      <c r="O118" s="57" t="e">
        <f t="shared" si="49"/>
        <v>#NAME?</v>
      </c>
      <c r="P118" s="57" t="e">
        <f t="shared" si="43"/>
        <v>#NAME?</v>
      </c>
      <c r="Q118" s="57" t="e">
        <f t="shared" si="44"/>
        <v>#NAME?</v>
      </c>
      <c r="R118" s="58" t="e">
        <f t="shared" si="45"/>
        <v>#NAME?</v>
      </c>
      <c r="T118" s="132" t="e">
        <f t="shared" si="46"/>
        <v>#NAME?</v>
      </c>
      <c r="U118" s="58" t="e">
        <f t="shared" si="47"/>
        <v>#NAME?</v>
      </c>
    </row>
    <row r="119" spans="1:21" ht="12.75">
      <c r="A119" s="52">
        <f ca="1" t="shared" si="34"/>
        <v>0.18445700817351252</v>
      </c>
      <c r="B119" s="48">
        <f t="shared" si="35"/>
        <v>-0.8985094370211895</v>
      </c>
      <c r="D119" s="2">
        <v>73</v>
      </c>
      <c r="E119" s="35">
        <f t="shared" si="48"/>
        <v>0.2</v>
      </c>
      <c r="F119" s="26">
        <f t="shared" si="36"/>
        <v>53.46757832668377</v>
      </c>
      <c r="G119" s="37" t="e">
        <f t="shared" si="37"/>
        <v>#NAME?</v>
      </c>
      <c r="H119" s="57" t="e">
        <f t="shared" si="50"/>
        <v>#NAME?</v>
      </c>
      <c r="I119" s="57" t="e">
        <f t="shared" si="38"/>
        <v>#NAME?</v>
      </c>
      <c r="J119" s="57" t="e">
        <f t="shared" si="39"/>
        <v>#NAME?</v>
      </c>
      <c r="K119" s="58" t="e">
        <f t="shared" si="40"/>
        <v>#NAME?</v>
      </c>
      <c r="M119" s="26">
        <f t="shared" si="41"/>
        <v>47.32177520189779</v>
      </c>
      <c r="N119" s="37" t="e">
        <f t="shared" si="42"/>
        <v>#NAME?</v>
      </c>
      <c r="O119" s="57" t="e">
        <f t="shared" si="49"/>
        <v>#NAME?</v>
      </c>
      <c r="P119" s="57" t="e">
        <f t="shared" si="43"/>
        <v>#NAME?</v>
      </c>
      <c r="Q119" s="57" t="e">
        <f t="shared" si="44"/>
        <v>#NAME?</v>
      </c>
      <c r="R119" s="58" t="e">
        <f t="shared" si="45"/>
        <v>#NAME?</v>
      </c>
      <c r="T119" s="132" t="e">
        <f t="shared" si="46"/>
        <v>#NAME?</v>
      </c>
      <c r="U119" s="58" t="e">
        <f t="shared" si="47"/>
        <v>#NAME?</v>
      </c>
    </row>
    <row r="120" spans="1:21" ht="12.75">
      <c r="A120" s="52">
        <f ca="1" t="shared" si="34"/>
        <v>0.8250016054308498</v>
      </c>
      <c r="B120" s="48">
        <f t="shared" si="35"/>
        <v>0.9345955191166018</v>
      </c>
      <c r="D120" s="2">
        <v>74</v>
      </c>
      <c r="E120" s="35">
        <f t="shared" si="48"/>
        <v>0.20273972602739726</v>
      </c>
      <c r="F120" s="26">
        <f t="shared" si="36"/>
        <v>53.99769942686946</v>
      </c>
      <c r="G120" s="37" t="e">
        <f t="shared" si="37"/>
        <v>#NAME?</v>
      </c>
      <c r="H120" s="57" t="e">
        <f t="shared" si="50"/>
        <v>#NAME?</v>
      </c>
      <c r="I120" s="57" t="e">
        <f t="shared" si="38"/>
        <v>#NAME?</v>
      </c>
      <c r="J120" s="57" t="e">
        <f t="shared" si="39"/>
        <v>#NAME?</v>
      </c>
      <c r="K120" s="58" t="e">
        <f t="shared" si="40"/>
        <v>#NAME?</v>
      </c>
      <c r="M120" s="26">
        <f t="shared" si="41"/>
        <v>46.8648980110393</v>
      </c>
      <c r="N120" s="37" t="e">
        <f t="shared" si="42"/>
        <v>#NAME?</v>
      </c>
      <c r="O120" s="57" t="e">
        <f t="shared" si="49"/>
        <v>#NAME?</v>
      </c>
      <c r="P120" s="57" t="e">
        <f t="shared" si="43"/>
        <v>#NAME?</v>
      </c>
      <c r="Q120" s="57" t="e">
        <f t="shared" si="44"/>
        <v>#NAME?</v>
      </c>
      <c r="R120" s="58" t="e">
        <f t="shared" si="45"/>
        <v>#NAME?</v>
      </c>
      <c r="T120" s="132" t="e">
        <f t="shared" si="46"/>
        <v>#NAME?</v>
      </c>
      <c r="U120" s="58" t="e">
        <f t="shared" si="47"/>
        <v>#NAME?</v>
      </c>
    </row>
    <row r="121" spans="1:21" ht="12.75">
      <c r="A121" s="52">
        <f ca="1" t="shared" si="34"/>
        <v>0.6788065537865295</v>
      </c>
      <c r="B121" s="48">
        <f t="shared" si="35"/>
        <v>0.46436411933716326</v>
      </c>
      <c r="D121" s="2">
        <v>75</v>
      </c>
      <c r="E121" s="35">
        <f t="shared" si="48"/>
        <v>0.2054794520547945</v>
      </c>
      <c r="F121" s="26">
        <f t="shared" si="36"/>
        <v>54.265291301299605</v>
      </c>
      <c r="G121" s="37" t="e">
        <f t="shared" si="37"/>
        <v>#NAME?</v>
      </c>
      <c r="H121" s="57" t="e">
        <f t="shared" si="50"/>
        <v>#NAME?</v>
      </c>
      <c r="I121" s="57" t="e">
        <f t="shared" si="38"/>
        <v>#NAME?</v>
      </c>
      <c r="J121" s="57" t="e">
        <f t="shared" si="39"/>
        <v>#NAME?</v>
      </c>
      <c r="K121" s="58" t="e">
        <f t="shared" si="40"/>
        <v>#NAME?</v>
      </c>
      <c r="M121" s="26">
        <f t="shared" si="41"/>
        <v>46.641465261937114</v>
      </c>
      <c r="N121" s="37" t="e">
        <f t="shared" si="42"/>
        <v>#NAME?</v>
      </c>
      <c r="O121" s="57" t="e">
        <f t="shared" si="49"/>
        <v>#NAME?</v>
      </c>
      <c r="P121" s="57" t="e">
        <f t="shared" si="43"/>
        <v>#NAME?</v>
      </c>
      <c r="Q121" s="57" t="e">
        <f t="shared" si="44"/>
        <v>#NAME?</v>
      </c>
      <c r="R121" s="58" t="e">
        <f t="shared" si="45"/>
        <v>#NAME?</v>
      </c>
      <c r="T121" s="132" t="e">
        <f t="shared" si="46"/>
        <v>#NAME?</v>
      </c>
      <c r="U121" s="58" t="e">
        <f t="shared" si="47"/>
        <v>#NAME?</v>
      </c>
    </row>
    <row r="122" spans="1:21" ht="12.75">
      <c r="A122" s="52">
        <f ca="1" t="shared" si="34"/>
        <v>0.7754028375375467</v>
      </c>
      <c r="B122" s="48">
        <f t="shared" si="35"/>
        <v>0.7567588921517827</v>
      </c>
      <c r="D122" s="2">
        <v>76</v>
      </c>
      <c r="E122" s="35">
        <f t="shared" si="48"/>
        <v>0.20821917808219179</v>
      </c>
      <c r="F122" s="26">
        <f t="shared" si="36"/>
        <v>54.70139030115326</v>
      </c>
      <c r="G122" s="37" t="e">
        <f t="shared" si="37"/>
        <v>#NAME?</v>
      </c>
      <c r="H122" s="57" t="e">
        <f t="shared" si="50"/>
        <v>#NAME?</v>
      </c>
      <c r="I122" s="57" t="e">
        <f t="shared" si="38"/>
        <v>#NAME?</v>
      </c>
      <c r="J122" s="57" t="e">
        <f t="shared" si="39"/>
        <v>#NAME?</v>
      </c>
      <c r="K122" s="58" t="e">
        <f t="shared" si="40"/>
        <v>#NAME?</v>
      </c>
      <c r="M122" s="26">
        <f t="shared" si="41"/>
        <v>46.277229450701505</v>
      </c>
      <c r="N122" s="37" t="e">
        <f t="shared" si="42"/>
        <v>#NAME?</v>
      </c>
      <c r="O122" s="57" t="e">
        <f t="shared" si="49"/>
        <v>#NAME?</v>
      </c>
      <c r="P122" s="57" t="e">
        <f t="shared" si="43"/>
        <v>#NAME?</v>
      </c>
      <c r="Q122" s="57" t="e">
        <f t="shared" si="44"/>
        <v>#NAME?</v>
      </c>
      <c r="R122" s="58" t="e">
        <f t="shared" si="45"/>
        <v>#NAME?</v>
      </c>
      <c r="T122" s="132" t="e">
        <f t="shared" si="46"/>
        <v>#NAME?</v>
      </c>
      <c r="U122" s="58" t="e">
        <f t="shared" si="47"/>
        <v>#NAME?</v>
      </c>
    </row>
    <row r="123" spans="1:21" ht="12.75">
      <c r="A123" s="52">
        <f ca="1" t="shared" si="34"/>
        <v>0.8754309994640915</v>
      </c>
      <c r="B123" s="48">
        <f t="shared" si="35"/>
        <v>1.1524456264194276</v>
      </c>
      <c r="D123" s="2">
        <v>77</v>
      </c>
      <c r="E123" s="35">
        <f t="shared" si="48"/>
        <v>0.21095890410958903</v>
      </c>
      <c r="F123" s="26">
        <f t="shared" si="36"/>
        <v>55.36987481399906</v>
      </c>
      <c r="G123" s="37" t="e">
        <f t="shared" si="37"/>
        <v>#NAME?</v>
      </c>
      <c r="H123" s="57" t="e">
        <f t="shared" si="50"/>
        <v>#NAME?</v>
      </c>
      <c r="I123" s="57" t="e">
        <f t="shared" si="38"/>
        <v>#NAME?</v>
      </c>
      <c r="J123" s="57" t="e">
        <f t="shared" si="39"/>
        <v>#NAME?</v>
      </c>
      <c r="K123" s="58" t="e">
        <f t="shared" si="40"/>
        <v>#NAME?</v>
      </c>
      <c r="M123" s="26">
        <f t="shared" si="41"/>
        <v>45.72603709559525</v>
      </c>
      <c r="N123" s="37" t="e">
        <f t="shared" si="42"/>
        <v>#NAME?</v>
      </c>
      <c r="O123" s="57" t="e">
        <f t="shared" si="49"/>
        <v>#NAME?</v>
      </c>
      <c r="P123" s="57" t="e">
        <f t="shared" si="43"/>
        <v>#NAME?</v>
      </c>
      <c r="Q123" s="57" t="e">
        <f t="shared" si="44"/>
        <v>#NAME?</v>
      </c>
      <c r="R123" s="58" t="e">
        <f t="shared" si="45"/>
        <v>#NAME?</v>
      </c>
      <c r="T123" s="132" t="e">
        <f t="shared" si="46"/>
        <v>#NAME?</v>
      </c>
      <c r="U123" s="58" t="e">
        <f t="shared" si="47"/>
        <v>#NAME?</v>
      </c>
    </row>
    <row r="124" spans="1:21" ht="12.75">
      <c r="A124" s="52">
        <f ca="1" t="shared" si="34"/>
        <v>0.7582672302210232</v>
      </c>
      <c r="B124" s="48">
        <f t="shared" si="35"/>
        <v>0.7007395975251429</v>
      </c>
      <c r="D124" s="2">
        <v>78</v>
      </c>
      <c r="E124" s="35">
        <f t="shared" si="48"/>
        <v>0.2136986301369863</v>
      </c>
      <c r="F124" s="26">
        <f t="shared" si="36"/>
        <v>55.78212843200899</v>
      </c>
      <c r="G124" s="37" t="e">
        <f t="shared" si="37"/>
        <v>#NAME?</v>
      </c>
      <c r="H124" s="57" t="e">
        <f t="shared" si="50"/>
        <v>#NAME?</v>
      </c>
      <c r="I124" s="57" t="e">
        <f t="shared" si="38"/>
        <v>#NAME?</v>
      </c>
      <c r="J124" s="57" t="e">
        <f t="shared" si="39"/>
        <v>#NAME?</v>
      </c>
      <c r="K124" s="58" t="e">
        <f t="shared" si="40"/>
        <v>#NAME?</v>
      </c>
      <c r="M124" s="26">
        <f t="shared" si="41"/>
        <v>45.39556393424136</v>
      </c>
      <c r="N124" s="37" t="e">
        <f t="shared" si="42"/>
        <v>#NAME?</v>
      </c>
      <c r="O124" s="57" t="e">
        <f t="shared" si="49"/>
        <v>#NAME?</v>
      </c>
      <c r="P124" s="57" t="e">
        <f t="shared" si="43"/>
        <v>#NAME?</v>
      </c>
      <c r="Q124" s="57" t="e">
        <f t="shared" si="44"/>
        <v>#NAME?</v>
      </c>
      <c r="R124" s="58" t="e">
        <f t="shared" si="45"/>
        <v>#NAME?</v>
      </c>
      <c r="T124" s="132" t="e">
        <f t="shared" si="46"/>
        <v>#NAME?</v>
      </c>
      <c r="U124" s="58" t="e">
        <f t="shared" si="47"/>
        <v>#NAME?</v>
      </c>
    </row>
    <row r="125" spans="1:21" ht="12.75">
      <c r="A125" s="52">
        <f ca="1" t="shared" si="34"/>
        <v>0.474711616900624</v>
      </c>
      <c r="B125" s="48">
        <f t="shared" si="35"/>
        <v>-0.06343108629533714</v>
      </c>
      <c r="D125" s="2">
        <v>79</v>
      </c>
      <c r="E125" s="35">
        <f t="shared" si="48"/>
        <v>0.21643835616438356</v>
      </c>
      <c r="F125" s="26">
        <f t="shared" si="36"/>
        <v>55.74968186750631</v>
      </c>
      <c r="G125" s="37" t="e">
        <f t="shared" si="37"/>
        <v>#NAME?</v>
      </c>
      <c r="H125" s="57" t="e">
        <f t="shared" si="50"/>
        <v>#NAME?</v>
      </c>
      <c r="I125" s="57" t="e">
        <f t="shared" si="38"/>
        <v>#NAME?</v>
      </c>
      <c r="J125" s="57" t="e">
        <f t="shared" si="39"/>
        <v>#NAME?</v>
      </c>
      <c r="K125" s="58" t="e">
        <f t="shared" si="40"/>
        <v>#NAME?</v>
      </c>
      <c r="M125" s="26">
        <f t="shared" si="41"/>
        <v>45.429451597033896</v>
      </c>
      <c r="N125" s="37" t="e">
        <f t="shared" si="42"/>
        <v>#NAME?</v>
      </c>
      <c r="O125" s="57" t="e">
        <f t="shared" si="49"/>
        <v>#NAME?</v>
      </c>
      <c r="P125" s="57" t="e">
        <f t="shared" si="43"/>
        <v>#NAME?</v>
      </c>
      <c r="Q125" s="57" t="e">
        <f t="shared" si="44"/>
        <v>#NAME?</v>
      </c>
      <c r="R125" s="58" t="e">
        <f t="shared" si="45"/>
        <v>#NAME?</v>
      </c>
      <c r="T125" s="132" t="e">
        <f t="shared" si="46"/>
        <v>#NAME?</v>
      </c>
      <c r="U125" s="58" t="e">
        <f t="shared" si="47"/>
        <v>#NAME?</v>
      </c>
    </row>
    <row r="126" spans="1:21" ht="12.75">
      <c r="A126" s="52">
        <f ca="1" t="shared" si="34"/>
        <v>0.5248746251865396</v>
      </c>
      <c r="B126" s="48">
        <f t="shared" si="35"/>
        <v>0.062391894513643256</v>
      </c>
      <c r="D126" s="2">
        <v>80</v>
      </c>
      <c r="E126" s="35">
        <f t="shared" si="48"/>
        <v>0.2191780821917808</v>
      </c>
      <c r="F126" s="26">
        <f t="shared" si="36"/>
        <v>55.79069191400017</v>
      </c>
      <c r="G126" s="37" t="e">
        <f t="shared" si="37"/>
        <v>#NAME?</v>
      </c>
      <c r="H126" s="57" t="e">
        <f t="shared" si="50"/>
        <v>#NAME?</v>
      </c>
      <c r="I126" s="57" t="e">
        <f t="shared" si="38"/>
        <v>#NAME?</v>
      </c>
      <c r="J126" s="57" t="e">
        <f t="shared" si="39"/>
        <v>#NAME?</v>
      </c>
      <c r="K126" s="58" t="e">
        <f t="shared" si="40"/>
        <v>#NAME?</v>
      </c>
      <c r="M126" s="26">
        <f t="shared" si="41"/>
        <v>45.40352076326815</v>
      </c>
      <c r="N126" s="37" t="e">
        <f t="shared" si="42"/>
        <v>#NAME?</v>
      </c>
      <c r="O126" s="57" t="e">
        <f t="shared" si="49"/>
        <v>#NAME?</v>
      </c>
      <c r="P126" s="57" t="e">
        <f t="shared" si="43"/>
        <v>#NAME?</v>
      </c>
      <c r="Q126" s="57" t="e">
        <f t="shared" si="44"/>
        <v>#NAME?</v>
      </c>
      <c r="R126" s="58" t="e">
        <f t="shared" si="45"/>
        <v>#NAME?</v>
      </c>
      <c r="T126" s="132" t="e">
        <f t="shared" si="46"/>
        <v>#NAME?</v>
      </c>
      <c r="U126" s="58" t="e">
        <f t="shared" si="47"/>
        <v>#NAME?</v>
      </c>
    </row>
    <row r="127" spans="1:21" ht="12.75">
      <c r="A127" s="52">
        <f ca="1" t="shared" si="34"/>
        <v>0.9468315073320861</v>
      </c>
      <c r="B127" s="48">
        <f t="shared" si="35"/>
        <v>1.6148786095611714</v>
      </c>
      <c r="D127" s="2">
        <v>81</v>
      </c>
      <c r="E127" s="35">
        <f t="shared" si="48"/>
        <v>0.2219178082191781</v>
      </c>
      <c r="F127" s="26">
        <f t="shared" si="36"/>
        <v>56.74653275137222</v>
      </c>
      <c r="G127" s="37" t="e">
        <f t="shared" si="37"/>
        <v>#NAME?</v>
      </c>
      <c r="H127" s="57" t="e">
        <f t="shared" si="50"/>
        <v>#NAME?</v>
      </c>
      <c r="I127" s="57" t="e">
        <f t="shared" si="38"/>
        <v>#NAME?</v>
      </c>
      <c r="J127" s="57" t="e">
        <f t="shared" si="39"/>
        <v>#NAME?</v>
      </c>
      <c r="K127" s="58" t="e">
        <f t="shared" si="40"/>
        <v>#NAME?</v>
      </c>
      <c r="M127" s="26">
        <f t="shared" si="41"/>
        <v>44.646080546071325</v>
      </c>
      <c r="N127" s="37" t="e">
        <f t="shared" si="42"/>
        <v>#NAME?</v>
      </c>
      <c r="O127" s="57" t="e">
        <f t="shared" si="49"/>
        <v>#NAME?</v>
      </c>
      <c r="P127" s="57" t="e">
        <f t="shared" si="43"/>
        <v>#NAME?</v>
      </c>
      <c r="Q127" s="57" t="e">
        <f t="shared" si="44"/>
        <v>#NAME?</v>
      </c>
      <c r="R127" s="58" t="e">
        <f t="shared" si="45"/>
        <v>#NAME?</v>
      </c>
      <c r="T127" s="132" t="e">
        <f t="shared" si="46"/>
        <v>#NAME?</v>
      </c>
      <c r="U127" s="58" t="e">
        <f t="shared" si="47"/>
        <v>#NAME?</v>
      </c>
    </row>
    <row r="128" spans="1:21" ht="12.75">
      <c r="A128" s="52">
        <f ca="1" t="shared" si="34"/>
        <v>0.4553249934948237</v>
      </c>
      <c r="B128" s="48">
        <f t="shared" si="35"/>
        <v>-0.112218719392503</v>
      </c>
      <c r="D128" s="2">
        <v>82</v>
      </c>
      <c r="E128" s="35">
        <f t="shared" si="48"/>
        <v>0.22465753424657534</v>
      </c>
      <c r="F128" s="26">
        <f t="shared" si="36"/>
        <v>56.684567192875576</v>
      </c>
      <c r="G128" s="37" t="e">
        <f t="shared" si="37"/>
        <v>#NAME?</v>
      </c>
      <c r="H128" s="57" t="e">
        <f t="shared" si="50"/>
        <v>#NAME?</v>
      </c>
      <c r="I128" s="57" t="e">
        <f t="shared" si="38"/>
        <v>#NAME?</v>
      </c>
      <c r="J128" s="57" t="e">
        <f t="shared" si="39"/>
        <v>#NAME?</v>
      </c>
      <c r="K128" s="58" t="e">
        <f t="shared" si="40"/>
        <v>#NAME?</v>
      </c>
      <c r="M128" s="26">
        <f t="shared" si="41"/>
        <v>44.70223376638136</v>
      </c>
      <c r="N128" s="37" t="e">
        <f t="shared" si="42"/>
        <v>#NAME?</v>
      </c>
      <c r="O128" s="57" t="e">
        <f t="shared" si="49"/>
        <v>#NAME?</v>
      </c>
      <c r="P128" s="57" t="e">
        <f t="shared" si="43"/>
        <v>#NAME?</v>
      </c>
      <c r="Q128" s="57" t="e">
        <f t="shared" si="44"/>
        <v>#NAME?</v>
      </c>
      <c r="R128" s="58" t="e">
        <f t="shared" si="45"/>
        <v>#NAME?</v>
      </c>
      <c r="T128" s="132" t="e">
        <f t="shared" si="46"/>
        <v>#NAME?</v>
      </c>
      <c r="U128" s="58" t="e">
        <f t="shared" si="47"/>
        <v>#NAME?</v>
      </c>
    </row>
    <row r="129" spans="1:21" ht="12.75">
      <c r="A129" s="52">
        <f ca="1" t="shared" si="34"/>
        <v>0.14729748397688927</v>
      </c>
      <c r="B129" s="48">
        <f t="shared" si="35"/>
        <v>-1.0480947216492762</v>
      </c>
      <c r="D129" s="2">
        <v>83</v>
      </c>
      <c r="E129" s="35">
        <f t="shared" si="48"/>
        <v>0.2273972602739726</v>
      </c>
      <c r="F129" s="26">
        <f t="shared" si="36"/>
        <v>56.0706344229718</v>
      </c>
      <c r="G129" s="37" t="e">
        <f t="shared" si="37"/>
        <v>#NAME?</v>
      </c>
      <c r="H129" s="57" t="e">
        <f t="shared" si="50"/>
        <v>#NAME?</v>
      </c>
      <c r="I129" s="57" t="e">
        <f t="shared" si="38"/>
        <v>#NAME?</v>
      </c>
      <c r="J129" s="57" t="e">
        <f t="shared" si="39"/>
        <v>#NAME?</v>
      </c>
      <c r="K129" s="58" t="e">
        <f t="shared" si="40"/>
        <v>#NAME?</v>
      </c>
      <c r="M129" s="26">
        <f t="shared" si="41"/>
        <v>45.19912017812775</v>
      </c>
      <c r="N129" s="37" t="e">
        <f t="shared" si="42"/>
        <v>#NAME?</v>
      </c>
      <c r="O129" s="57" t="e">
        <f t="shared" si="49"/>
        <v>#NAME?</v>
      </c>
      <c r="P129" s="57" t="e">
        <f t="shared" si="43"/>
        <v>#NAME?</v>
      </c>
      <c r="Q129" s="57" t="e">
        <f t="shared" si="44"/>
        <v>#NAME?</v>
      </c>
      <c r="R129" s="58" t="e">
        <f t="shared" si="45"/>
        <v>#NAME?</v>
      </c>
      <c r="T129" s="132" t="e">
        <f t="shared" si="46"/>
        <v>#NAME?</v>
      </c>
      <c r="U129" s="58" t="e">
        <f t="shared" si="47"/>
        <v>#NAME?</v>
      </c>
    </row>
    <row r="130" spans="1:21" ht="12.75">
      <c r="A130" s="52">
        <f aca="true" ca="1" t="shared" si="51" ref="A130:A186">0.000005+0.99999*RAND()</f>
        <v>0.353245319132601</v>
      </c>
      <c r="B130" s="48">
        <f aca="true" t="shared" si="52" ref="B130:B186">NORMSINV(A130)</f>
        <v>-0.3765734274524625</v>
      </c>
      <c r="D130" s="2">
        <v>84</v>
      </c>
      <c r="E130" s="35">
        <f t="shared" si="48"/>
        <v>0.23013698630136986</v>
      </c>
      <c r="F130" s="26">
        <f aca="true" t="shared" si="53" ref="F130:F186">F129*EXP(($C$9-0.5*$C$10*$C$10)*(E130-E129)+$C$10*B130*SQRT(E130-E129))</f>
        <v>55.85462124053427</v>
      </c>
      <c r="G130" s="37" t="e">
        <f aca="true" t="shared" si="54" ref="G130:G186">Black_Scholes(F130,$C$11,$C$9,0,$C$10,$C$13-E130,$C$14,FALSE,,1)</f>
        <v>#NAME?</v>
      </c>
      <c r="H130" s="57" t="e">
        <f t="shared" si="50"/>
        <v>#NAME?</v>
      </c>
      <c r="I130" s="57" t="e">
        <f aca="true" t="shared" si="55" ref="I130:I186">H130*F130</f>
        <v>#NAME?</v>
      </c>
      <c r="J130" s="57" t="e">
        <f aca="true" t="shared" si="56" ref="J130:J185">(EXP($C$9*(E131-E130))-1)*K130</f>
        <v>#NAME?</v>
      </c>
      <c r="K130" s="58" t="e">
        <f aca="true" t="shared" si="57" ref="K130:K186">K129+J129+I130</f>
        <v>#NAME?</v>
      </c>
      <c r="M130" s="26">
        <f aca="true" t="shared" si="58" ref="M130:M186">M129*EXP(($C$9-0.5*$C$10*$C$10)*(E130-E129)-$C$10*B130*SQRT(E130-E129))</f>
        <v>45.381383421446856</v>
      </c>
      <c r="N130" s="37" t="e">
        <f aca="true" t="shared" si="59" ref="N130:N186">Black_Scholes(M130,$C$11,$C$9,0,$C$10,$C$13-E130,$C$14,FALSE,,1)</f>
        <v>#NAME?</v>
      </c>
      <c r="O130" s="57" t="e">
        <f t="shared" si="49"/>
        <v>#NAME?</v>
      </c>
      <c r="P130" s="57" t="e">
        <f aca="true" t="shared" si="60" ref="P130:P186">O130*M130</f>
        <v>#NAME?</v>
      </c>
      <c r="Q130" s="57" t="e">
        <f aca="true" t="shared" si="61" ref="Q130:Q186">(EXP($C$9*(E131-E130))-1)*R130</f>
        <v>#NAME?</v>
      </c>
      <c r="R130" s="58" t="e">
        <f aca="true" t="shared" si="62" ref="R130:R186">R129+Q129+P130</f>
        <v>#NAME?</v>
      </c>
      <c r="T130" s="132" t="e">
        <f t="shared" si="46"/>
        <v>#NAME?</v>
      </c>
      <c r="U130" s="58" t="e">
        <f t="shared" si="47"/>
        <v>#NAME?</v>
      </c>
    </row>
    <row r="131" spans="1:21" ht="12.75">
      <c r="A131" s="52">
        <f ca="1" t="shared" si="51"/>
        <v>0.14966342903263283</v>
      </c>
      <c r="B131" s="48">
        <f t="shared" si="52"/>
        <v>-1.0378779978333017</v>
      </c>
      <c r="D131" s="2">
        <v>85</v>
      </c>
      <c r="E131" s="35">
        <f t="shared" si="48"/>
        <v>0.2328767123287671</v>
      </c>
      <c r="F131" s="26">
        <f t="shared" si="53"/>
        <v>55.25558682026854</v>
      </c>
      <c r="G131" s="37" t="e">
        <f t="shared" si="54"/>
        <v>#NAME?</v>
      </c>
      <c r="H131" s="57" t="e">
        <f t="shared" si="50"/>
        <v>#NAME?</v>
      </c>
      <c r="I131" s="57" t="e">
        <f t="shared" si="55"/>
        <v>#NAME?</v>
      </c>
      <c r="J131" s="57" t="e">
        <f t="shared" si="56"/>
        <v>#NAME?</v>
      </c>
      <c r="K131" s="58" t="e">
        <f t="shared" si="57"/>
        <v>#NAME?</v>
      </c>
      <c r="M131" s="26">
        <f t="shared" si="58"/>
        <v>45.88091151299137</v>
      </c>
      <c r="N131" s="37" t="e">
        <f t="shared" si="59"/>
        <v>#NAME?</v>
      </c>
      <c r="O131" s="57" t="e">
        <f t="shared" si="49"/>
        <v>#NAME?</v>
      </c>
      <c r="P131" s="57" t="e">
        <f t="shared" si="60"/>
        <v>#NAME?</v>
      </c>
      <c r="Q131" s="57" t="e">
        <f t="shared" si="61"/>
        <v>#NAME?</v>
      </c>
      <c r="R131" s="58" t="e">
        <f t="shared" si="62"/>
        <v>#NAME?</v>
      </c>
      <c r="T131" s="132" t="e">
        <f t="shared" si="46"/>
        <v>#NAME?</v>
      </c>
      <c r="U131" s="58" t="e">
        <f t="shared" si="47"/>
        <v>#NAME?</v>
      </c>
    </row>
    <row r="132" spans="1:21" ht="12.75">
      <c r="A132" s="52">
        <f ca="1" t="shared" si="51"/>
        <v>0.7291842849330609</v>
      </c>
      <c r="B132" s="48">
        <f t="shared" si="52"/>
        <v>0.6103478135037161</v>
      </c>
      <c r="D132" s="2">
        <v>86</v>
      </c>
      <c r="E132" s="35">
        <f t="shared" si="48"/>
        <v>0.2356164383561644</v>
      </c>
      <c r="F132" s="26">
        <f t="shared" si="53"/>
        <v>55.614338734639155</v>
      </c>
      <c r="G132" s="37" t="e">
        <f t="shared" si="54"/>
        <v>#NAME?</v>
      </c>
      <c r="H132" s="57" t="e">
        <f t="shared" si="50"/>
        <v>#NAME?</v>
      </c>
      <c r="I132" s="57" t="e">
        <f t="shared" si="55"/>
        <v>#NAME?</v>
      </c>
      <c r="J132" s="57" t="e">
        <f t="shared" si="56"/>
        <v>#NAME?</v>
      </c>
      <c r="K132" s="58" t="e">
        <f t="shared" si="57"/>
        <v>#NAME?</v>
      </c>
      <c r="M132" s="26">
        <f t="shared" si="58"/>
        <v>45.59244113691275</v>
      </c>
      <c r="N132" s="37" t="e">
        <f t="shared" si="59"/>
        <v>#NAME?</v>
      </c>
      <c r="O132" s="57" t="e">
        <f t="shared" si="49"/>
        <v>#NAME?</v>
      </c>
      <c r="P132" s="57" t="e">
        <f t="shared" si="60"/>
        <v>#NAME?</v>
      </c>
      <c r="Q132" s="57" t="e">
        <f t="shared" si="61"/>
        <v>#NAME?</v>
      </c>
      <c r="R132" s="58" t="e">
        <f t="shared" si="62"/>
        <v>#NAME?</v>
      </c>
      <c r="T132" s="132" t="e">
        <f t="shared" si="46"/>
        <v>#NAME?</v>
      </c>
      <c r="U132" s="58" t="e">
        <f t="shared" si="47"/>
        <v>#NAME?</v>
      </c>
    </row>
    <row r="133" spans="1:21" ht="12.75">
      <c r="A133" s="52">
        <f ca="1" t="shared" si="51"/>
        <v>0.05135611591491277</v>
      </c>
      <c r="B133" s="48">
        <f t="shared" si="52"/>
        <v>-1.6318445776333732</v>
      </c>
      <c r="D133" s="2">
        <v>87</v>
      </c>
      <c r="E133" s="35">
        <f t="shared" si="48"/>
        <v>0.23835616438356164</v>
      </c>
      <c r="F133" s="26">
        <f t="shared" si="53"/>
        <v>54.67684554966018</v>
      </c>
      <c r="G133" s="37" t="e">
        <f t="shared" si="54"/>
        <v>#NAME?</v>
      </c>
      <c r="H133" s="57" t="e">
        <f t="shared" si="50"/>
        <v>#NAME?</v>
      </c>
      <c r="I133" s="57" t="e">
        <f t="shared" si="55"/>
        <v>#NAME?</v>
      </c>
      <c r="J133" s="57" t="e">
        <f t="shared" si="56"/>
        <v>#NAME?</v>
      </c>
      <c r="K133" s="58" t="e">
        <f t="shared" si="57"/>
        <v>#NAME?</v>
      </c>
      <c r="M133" s="26">
        <f t="shared" si="58"/>
        <v>46.38179623893877</v>
      </c>
      <c r="N133" s="37" t="e">
        <f t="shared" si="59"/>
        <v>#NAME?</v>
      </c>
      <c r="O133" s="57" t="e">
        <f t="shared" si="49"/>
        <v>#NAME?</v>
      </c>
      <c r="P133" s="57" t="e">
        <f t="shared" si="60"/>
        <v>#NAME?</v>
      </c>
      <c r="Q133" s="57" t="e">
        <f t="shared" si="61"/>
        <v>#NAME?</v>
      </c>
      <c r="R133" s="58" t="e">
        <f t="shared" si="62"/>
        <v>#NAME?</v>
      </c>
      <c r="T133" s="132" t="e">
        <f t="shared" si="46"/>
        <v>#NAME?</v>
      </c>
      <c r="U133" s="58" t="e">
        <f t="shared" si="47"/>
        <v>#NAME?</v>
      </c>
    </row>
    <row r="134" spans="1:21" ht="12.75">
      <c r="A134" s="52">
        <f ca="1" t="shared" si="51"/>
        <v>0.527280289622342</v>
      </c>
      <c r="B134" s="48">
        <f t="shared" si="52"/>
        <v>0.0684349251280578</v>
      </c>
      <c r="D134" s="2">
        <v>88</v>
      </c>
      <c r="E134" s="35">
        <f t="shared" si="48"/>
        <v>0.2410958904109589</v>
      </c>
      <c r="F134" s="26">
        <f t="shared" si="53"/>
        <v>54.72052799078876</v>
      </c>
      <c r="G134" s="37" t="e">
        <f t="shared" si="54"/>
        <v>#NAME?</v>
      </c>
      <c r="H134" s="57" t="e">
        <f t="shared" si="50"/>
        <v>#NAME?</v>
      </c>
      <c r="I134" s="57" t="e">
        <f t="shared" si="55"/>
        <v>#NAME?</v>
      </c>
      <c r="J134" s="57" t="e">
        <f t="shared" si="56"/>
        <v>#NAME?</v>
      </c>
      <c r="K134" s="58" t="e">
        <f t="shared" si="57"/>
        <v>#NAME?</v>
      </c>
      <c r="M134" s="26">
        <f t="shared" si="58"/>
        <v>46.35238940625878</v>
      </c>
      <c r="N134" s="37" t="e">
        <f t="shared" si="59"/>
        <v>#NAME?</v>
      </c>
      <c r="O134" s="57" t="e">
        <f t="shared" si="49"/>
        <v>#NAME?</v>
      </c>
      <c r="P134" s="57" t="e">
        <f t="shared" si="60"/>
        <v>#NAME?</v>
      </c>
      <c r="Q134" s="57" t="e">
        <f t="shared" si="61"/>
        <v>#NAME?</v>
      </c>
      <c r="R134" s="58" t="e">
        <f t="shared" si="62"/>
        <v>#NAME?</v>
      </c>
      <c r="T134" s="132" t="e">
        <f t="shared" si="46"/>
        <v>#NAME?</v>
      </c>
      <c r="U134" s="58" t="e">
        <f t="shared" si="47"/>
        <v>#NAME?</v>
      </c>
    </row>
    <row r="135" spans="1:21" ht="12.75">
      <c r="A135" s="52">
        <f ca="1" t="shared" si="51"/>
        <v>0.9814888386777826</v>
      </c>
      <c r="B135" s="48">
        <f t="shared" si="52"/>
        <v>2.08551781638769</v>
      </c>
      <c r="D135" s="2">
        <v>89</v>
      </c>
      <c r="E135" s="35">
        <f t="shared" si="48"/>
        <v>0.24383561643835616</v>
      </c>
      <c r="F135" s="26">
        <f t="shared" si="53"/>
        <v>55.93293100406242</v>
      </c>
      <c r="G135" s="37" t="e">
        <f t="shared" si="54"/>
        <v>#NAME?</v>
      </c>
      <c r="H135" s="57" t="e">
        <f t="shared" si="50"/>
        <v>#NAME?</v>
      </c>
      <c r="I135" s="57" t="e">
        <f t="shared" si="55"/>
        <v>#NAME?</v>
      </c>
      <c r="J135" s="57" t="e">
        <f t="shared" si="56"/>
        <v>#NAME?</v>
      </c>
      <c r="K135" s="58" t="e">
        <f t="shared" si="57"/>
        <v>#NAME?</v>
      </c>
      <c r="M135" s="26">
        <f t="shared" si="58"/>
        <v>45.35510937148915</v>
      </c>
      <c r="N135" s="37" t="e">
        <f t="shared" si="59"/>
        <v>#NAME?</v>
      </c>
      <c r="O135" s="57" t="e">
        <f t="shared" si="49"/>
        <v>#NAME?</v>
      </c>
      <c r="P135" s="57" t="e">
        <f t="shared" si="60"/>
        <v>#NAME?</v>
      </c>
      <c r="Q135" s="57" t="e">
        <f t="shared" si="61"/>
        <v>#NAME?</v>
      </c>
      <c r="R135" s="58" t="e">
        <f t="shared" si="62"/>
        <v>#NAME?</v>
      </c>
      <c r="T135" s="132" t="e">
        <f t="shared" si="46"/>
        <v>#NAME?</v>
      </c>
      <c r="U135" s="58" t="e">
        <f t="shared" si="47"/>
        <v>#NAME?</v>
      </c>
    </row>
    <row r="136" spans="1:21" ht="12.75">
      <c r="A136" s="52">
        <f ca="1" t="shared" si="51"/>
        <v>0.3923198618149482</v>
      </c>
      <c r="B136" s="48">
        <f t="shared" si="52"/>
        <v>-0.2732777420696868</v>
      </c>
      <c r="D136" s="2">
        <v>90</v>
      </c>
      <c r="E136" s="35">
        <f t="shared" si="48"/>
        <v>0.2465753424657534</v>
      </c>
      <c r="F136" s="26">
        <f t="shared" si="53"/>
        <v>55.7777309019213</v>
      </c>
      <c r="G136" s="37" t="e">
        <f t="shared" si="54"/>
        <v>#NAME?</v>
      </c>
      <c r="H136" s="57" t="e">
        <f t="shared" si="50"/>
        <v>#NAME?</v>
      </c>
      <c r="I136" s="57" t="e">
        <f t="shared" si="55"/>
        <v>#NAME?</v>
      </c>
      <c r="J136" s="57" t="e">
        <f t="shared" si="56"/>
        <v>#NAME?</v>
      </c>
      <c r="K136" s="58" t="e">
        <f t="shared" si="57"/>
        <v>#NAME?</v>
      </c>
      <c r="M136" s="26">
        <f t="shared" si="58"/>
        <v>45.488785791255346</v>
      </c>
      <c r="N136" s="37" t="e">
        <f t="shared" si="59"/>
        <v>#NAME?</v>
      </c>
      <c r="O136" s="57" t="e">
        <f t="shared" si="49"/>
        <v>#NAME?</v>
      </c>
      <c r="P136" s="57" t="e">
        <f t="shared" si="60"/>
        <v>#NAME?</v>
      </c>
      <c r="Q136" s="57" t="e">
        <f t="shared" si="61"/>
        <v>#NAME?</v>
      </c>
      <c r="R136" s="58" t="e">
        <f t="shared" si="62"/>
        <v>#NAME?</v>
      </c>
      <c r="T136" s="132" t="e">
        <f t="shared" si="46"/>
        <v>#NAME?</v>
      </c>
      <c r="U136" s="58" t="e">
        <f t="shared" si="47"/>
        <v>#NAME?</v>
      </c>
    </row>
    <row r="137" spans="1:21" ht="12.75">
      <c r="A137" s="52">
        <f ca="1" t="shared" si="51"/>
        <v>0.4638288414973783</v>
      </c>
      <c r="B137" s="48">
        <f t="shared" si="52"/>
        <v>-0.09079223140833412</v>
      </c>
      <c r="D137" s="2">
        <v>91</v>
      </c>
      <c r="E137" s="35">
        <f t="shared" si="48"/>
        <v>0.2493150684931507</v>
      </c>
      <c r="F137" s="26">
        <f t="shared" si="53"/>
        <v>55.729322083930406</v>
      </c>
      <c r="G137" s="37" t="e">
        <f t="shared" si="54"/>
        <v>#NAME?</v>
      </c>
      <c r="H137" s="57" t="e">
        <f t="shared" si="50"/>
        <v>#NAME?</v>
      </c>
      <c r="I137" s="57" t="e">
        <f t="shared" si="55"/>
        <v>#NAME?</v>
      </c>
      <c r="J137" s="57" t="e">
        <f t="shared" si="56"/>
        <v>#NAME?</v>
      </c>
      <c r="K137" s="58" t="e">
        <f t="shared" si="57"/>
        <v>#NAME?</v>
      </c>
      <c r="M137" s="26">
        <f t="shared" si="58"/>
        <v>45.53578397064079</v>
      </c>
      <c r="N137" s="37" t="e">
        <f t="shared" si="59"/>
        <v>#NAME?</v>
      </c>
      <c r="O137" s="57" t="e">
        <f t="shared" si="49"/>
        <v>#NAME?</v>
      </c>
      <c r="P137" s="57" t="e">
        <f t="shared" si="60"/>
        <v>#NAME?</v>
      </c>
      <c r="Q137" s="57" t="e">
        <f t="shared" si="61"/>
        <v>#NAME?</v>
      </c>
      <c r="R137" s="58" t="e">
        <f t="shared" si="62"/>
        <v>#NAME?</v>
      </c>
      <c r="T137" s="132" t="e">
        <f t="shared" si="46"/>
        <v>#NAME?</v>
      </c>
      <c r="U137" s="58" t="e">
        <f t="shared" si="47"/>
        <v>#NAME?</v>
      </c>
    </row>
    <row r="138" spans="1:21" ht="12.75">
      <c r="A138" s="52">
        <f ca="1" t="shared" si="51"/>
        <v>0.16642767187063787</v>
      </c>
      <c r="B138" s="48">
        <f t="shared" si="52"/>
        <v>-0.9683785586249574</v>
      </c>
      <c r="D138" s="2">
        <v>92</v>
      </c>
      <c r="E138" s="35">
        <f t="shared" si="48"/>
        <v>0.25205479452054796</v>
      </c>
      <c r="F138" s="26">
        <f t="shared" si="53"/>
        <v>55.17175728276707</v>
      </c>
      <c r="G138" s="37" t="e">
        <f t="shared" si="54"/>
        <v>#NAME?</v>
      </c>
      <c r="H138" s="57" t="e">
        <f t="shared" si="50"/>
        <v>#NAME?</v>
      </c>
      <c r="I138" s="57" t="e">
        <f t="shared" si="55"/>
        <v>#NAME?</v>
      </c>
      <c r="J138" s="57" t="e">
        <f t="shared" si="56"/>
        <v>#NAME?</v>
      </c>
      <c r="K138" s="58" t="e">
        <f t="shared" si="57"/>
        <v>#NAME?</v>
      </c>
      <c r="M138" s="26">
        <f t="shared" si="58"/>
        <v>46.003529398804524</v>
      </c>
      <c r="N138" s="37" t="e">
        <f t="shared" si="59"/>
        <v>#NAME?</v>
      </c>
      <c r="O138" s="57" t="e">
        <f t="shared" si="49"/>
        <v>#NAME?</v>
      </c>
      <c r="P138" s="57" t="e">
        <f t="shared" si="60"/>
        <v>#NAME?</v>
      </c>
      <c r="Q138" s="57" t="e">
        <f t="shared" si="61"/>
        <v>#NAME?</v>
      </c>
      <c r="R138" s="58" t="e">
        <f t="shared" si="62"/>
        <v>#NAME?</v>
      </c>
      <c r="T138" s="132" t="e">
        <f t="shared" si="46"/>
        <v>#NAME?</v>
      </c>
      <c r="U138" s="58" t="e">
        <f t="shared" si="47"/>
        <v>#NAME?</v>
      </c>
    </row>
    <row r="139" spans="1:21" ht="12.75">
      <c r="A139" s="52">
        <f ca="1" t="shared" si="51"/>
        <v>0.5389798643708105</v>
      </c>
      <c r="B139" s="48">
        <f t="shared" si="52"/>
        <v>0.09786401927155156</v>
      </c>
      <c r="D139" s="2">
        <v>93</v>
      </c>
      <c r="E139" s="35">
        <f t="shared" si="48"/>
        <v>0.2547945205479452</v>
      </c>
      <c r="F139" s="26">
        <f t="shared" si="53"/>
        <v>55.232848514611064</v>
      </c>
      <c r="G139" s="37" t="e">
        <f t="shared" si="54"/>
        <v>#NAME?</v>
      </c>
      <c r="H139" s="57" t="e">
        <f t="shared" si="50"/>
        <v>#NAME?</v>
      </c>
      <c r="I139" s="57" t="e">
        <f t="shared" si="55"/>
        <v>#NAME?</v>
      </c>
      <c r="J139" s="57" t="e">
        <f t="shared" si="56"/>
        <v>#NAME?</v>
      </c>
      <c r="K139" s="58" t="e">
        <f t="shared" si="57"/>
        <v>#NAME?</v>
      </c>
      <c r="M139" s="26">
        <f t="shared" si="58"/>
        <v>45.96020089298176</v>
      </c>
      <c r="N139" s="37" t="e">
        <f t="shared" si="59"/>
        <v>#NAME?</v>
      </c>
      <c r="O139" s="57" t="e">
        <f t="shared" si="49"/>
        <v>#NAME?</v>
      </c>
      <c r="P139" s="57" t="e">
        <f t="shared" si="60"/>
        <v>#NAME?</v>
      </c>
      <c r="Q139" s="57" t="e">
        <f t="shared" si="61"/>
        <v>#NAME?</v>
      </c>
      <c r="R139" s="58" t="e">
        <f t="shared" si="62"/>
        <v>#NAME?</v>
      </c>
      <c r="T139" s="132" t="e">
        <f t="shared" si="46"/>
        <v>#NAME?</v>
      </c>
      <c r="U139" s="58" t="e">
        <f t="shared" si="47"/>
        <v>#NAME?</v>
      </c>
    </row>
    <row r="140" spans="1:21" ht="12.75">
      <c r="A140" s="52">
        <f ca="1" t="shared" si="51"/>
        <v>0.6943122050747471</v>
      </c>
      <c r="B140" s="48">
        <f t="shared" si="52"/>
        <v>0.5081108738772744</v>
      </c>
      <c r="D140" s="2">
        <v>94</v>
      </c>
      <c r="E140" s="35">
        <f t="shared" si="48"/>
        <v>0.25753424657534246</v>
      </c>
      <c r="F140" s="26">
        <f t="shared" si="53"/>
        <v>55.531987028898364</v>
      </c>
      <c r="G140" s="37" t="e">
        <f t="shared" si="54"/>
        <v>#NAME?</v>
      </c>
      <c r="H140" s="57" t="e">
        <f t="shared" si="50"/>
        <v>#NAME?</v>
      </c>
      <c r="I140" s="57" t="e">
        <f t="shared" si="55"/>
        <v>#NAME?</v>
      </c>
      <c r="J140" s="57" t="e">
        <f t="shared" si="56"/>
        <v>#NAME?</v>
      </c>
      <c r="K140" s="58" t="e">
        <f t="shared" si="57"/>
        <v>#NAME?</v>
      </c>
      <c r="M140" s="26">
        <f t="shared" si="58"/>
        <v>45.720138492058055</v>
      </c>
      <c r="N140" s="37" t="e">
        <f t="shared" si="59"/>
        <v>#NAME?</v>
      </c>
      <c r="O140" s="57" t="e">
        <f t="shared" si="49"/>
        <v>#NAME?</v>
      </c>
      <c r="P140" s="57" t="e">
        <f t="shared" si="60"/>
        <v>#NAME?</v>
      </c>
      <c r="Q140" s="57" t="e">
        <f t="shared" si="61"/>
        <v>#NAME?</v>
      </c>
      <c r="R140" s="58" t="e">
        <f t="shared" si="62"/>
        <v>#NAME?</v>
      </c>
      <c r="T140" s="132" t="e">
        <f t="shared" si="46"/>
        <v>#NAME?</v>
      </c>
      <c r="U140" s="58" t="e">
        <f t="shared" si="47"/>
        <v>#NAME?</v>
      </c>
    </row>
    <row r="141" spans="1:21" ht="12.75">
      <c r="A141" s="52">
        <f ca="1" t="shared" si="51"/>
        <v>0.3821366165877448</v>
      </c>
      <c r="B141" s="48">
        <f t="shared" si="52"/>
        <v>-0.29987404456233</v>
      </c>
      <c r="D141" s="2">
        <v>95</v>
      </c>
      <c r="E141" s="35">
        <f t="shared" si="48"/>
        <v>0.2602739726027397</v>
      </c>
      <c r="F141" s="26">
        <f t="shared" si="53"/>
        <v>55.36248312282256</v>
      </c>
      <c r="G141" s="37" t="e">
        <f t="shared" si="54"/>
        <v>#NAME?</v>
      </c>
      <c r="H141" s="57" t="e">
        <f t="shared" si="50"/>
        <v>#NAME?</v>
      </c>
      <c r="I141" s="57" t="e">
        <f t="shared" si="55"/>
        <v>#NAME?</v>
      </c>
      <c r="J141" s="57" t="e">
        <f t="shared" si="56"/>
        <v>#NAME?</v>
      </c>
      <c r="K141" s="58" t="e">
        <f t="shared" si="57"/>
        <v>#NAME?</v>
      </c>
      <c r="M141" s="26">
        <f t="shared" si="58"/>
        <v>45.86765959812405</v>
      </c>
      <c r="N141" s="37" t="e">
        <f t="shared" si="59"/>
        <v>#NAME?</v>
      </c>
      <c r="O141" s="57" t="e">
        <f t="shared" si="49"/>
        <v>#NAME?</v>
      </c>
      <c r="P141" s="57" t="e">
        <f t="shared" si="60"/>
        <v>#NAME?</v>
      </c>
      <c r="Q141" s="57" t="e">
        <f t="shared" si="61"/>
        <v>#NAME?</v>
      </c>
      <c r="R141" s="58" t="e">
        <f t="shared" si="62"/>
        <v>#NAME?</v>
      </c>
      <c r="T141" s="132" t="e">
        <f t="shared" si="46"/>
        <v>#NAME?</v>
      </c>
      <c r="U141" s="58" t="e">
        <f t="shared" si="47"/>
        <v>#NAME?</v>
      </c>
    </row>
    <row r="142" spans="1:21" ht="12.75">
      <c r="A142" s="52">
        <f ca="1" t="shared" si="51"/>
        <v>0.7685373329599694</v>
      </c>
      <c r="B142" s="48">
        <f t="shared" si="52"/>
        <v>0.7340384012703061</v>
      </c>
      <c r="D142" s="2">
        <v>96</v>
      </c>
      <c r="E142" s="35">
        <f t="shared" si="48"/>
        <v>0.26301369863013696</v>
      </c>
      <c r="F142" s="26">
        <f t="shared" si="53"/>
        <v>55.794127469569</v>
      </c>
      <c r="G142" s="37" t="e">
        <f t="shared" si="54"/>
        <v>#NAME?</v>
      </c>
      <c r="H142" s="57" t="e">
        <f t="shared" si="50"/>
        <v>#NAME?</v>
      </c>
      <c r="I142" s="57" t="e">
        <f t="shared" si="55"/>
        <v>#NAME?</v>
      </c>
      <c r="J142" s="57" t="e">
        <f t="shared" si="56"/>
        <v>#NAME?</v>
      </c>
      <c r="K142" s="58" t="e">
        <f t="shared" si="57"/>
        <v>#NAME?</v>
      </c>
      <c r="M142" s="26">
        <f t="shared" si="58"/>
        <v>45.520292311623386</v>
      </c>
      <c r="N142" s="37" t="e">
        <f t="shared" si="59"/>
        <v>#NAME?</v>
      </c>
      <c r="O142" s="57" t="e">
        <f t="shared" si="49"/>
        <v>#NAME?</v>
      </c>
      <c r="P142" s="57" t="e">
        <f t="shared" si="60"/>
        <v>#NAME?</v>
      </c>
      <c r="Q142" s="57" t="e">
        <f t="shared" si="61"/>
        <v>#NAME?</v>
      </c>
      <c r="R142" s="58" t="e">
        <f t="shared" si="62"/>
        <v>#NAME?</v>
      </c>
      <c r="T142" s="132" t="e">
        <f t="shared" si="46"/>
        <v>#NAME?</v>
      </c>
      <c r="U142" s="58" t="e">
        <f t="shared" si="47"/>
        <v>#NAME?</v>
      </c>
    </row>
    <row r="143" spans="1:21" ht="12.75">
      <c r="A143" s="52">
        <f ca="1" t="shared" si="51"/>
        <v>0.7955857437946248</v>
      </c>
      <c r="B143" s="48">
        <f t="shared" si="52"/>
        <v>0.8259569510111122</v>
      </c>
      <c r="D143" s="2">
        <v>97</v>
      </c>
      <c r="E143" s="35">
        <f t="shared" si="48"/>
        <v>0.26575342465753427</v>
      </c>
      <c r="F143" s="26">
        <f t="shared" si="53"/>
        <v>56.28326959413662</v>
      </c>
      <c r="G143" s="37" t="e">
        <f t="shared" si="54"/>
        <v>#NAME?</v>
      </c>
      <c r="H143" s="57" t="e">
        <f t="shared" si="50"/>
        <v>#NAME?</v>
      </c>
      <c r="I143" s="57" t="e">
        <f t="shared" si="55"/>
        <v>#NAME?</v>
      </c>
      <c r="J143" s="57" t="e">
        <f t="shared" si="56"/>
        <v>#NAME?</v>
      </c>
      <c r="K143" s="58" t="e">
        <f t="shared" si="57"/>
        <v>#NAME?</v>
      </c>
      <c r="M143" s="26">
        <f t="shared" si="58"/>
        <v>45.13210657333674</v>
      </c>
      <c r="N143" s="37" t="e">
        <f t="shared" si="59"/>
        <v>#NAME?</v>
      </c>
      <c r="O143" s="57" t="e">
        <f t="shared" si="49"/>
        <v>#NAME?</v>
      </c>
      <c r="P143" s="57" t="e">
        <f t="shared" si="60"/>
        <v>#NAME?</v>
      </c>
      <c r="Q143" s="57" t="e">
        <f t="shared" si="61"/>
        <v>#NAME?</v>
      </c>
      <c r="R143" s="58" t="e">
        <f t="shared" si="62"/>
        <v>#NAME?</v>
      </c>
      <c r="T143" s="132" t="e">
        <f t="shared" si="46"/>
        <v>#NAME?</v>
      </c>
      <c r="U143" s="58" t="e">
        <f t="shared" si="47"/>
        <v>#NAME?</v>
      </c>
    </row>
    <row r="144" spans="1:21" ht="12.75">
      <c r="A144" s="52">
        <f ca="1" t="shared" si="51"/>
        <v>0.5965065341321475</v>
      </c>
      <c r="B144" s="48">
        <f t="shared" si="52"/>
        <v>0.24431491653660414</v>
      </c>
      <c r="D144" s="2">
        <v>98</v>
      </c>
      <c r="E144" s="35">
        <f t="shared" si="48"/>
        <v>0.2684931506849315</v>
      </c>
      <c r="F144" s="26">
        <f t="shared" si="53"/>
        <v>56.432042291228164</v>
      </c>
      <c r="G144" s="37" t="e">
        <f t="shared" si="54"/>
        <v>#NAME?</v>
      </c>
      <c r="H144" s="57" t="e">
        <f t="shared" si="50"/>
        <v>#NAME?</v>
      </c>
      <c r="I144" s="57" t="e">
        <f t="shared" si="55"/>
        <v>#NAME?</v>
      </c>
      <c r="J144" s="57" t="e">
        <f t="shared" si="56"/>
        <v>#NAME?</v>
      </c>
      <c r="K144" s="58" t="e">
        <f t="shared" si="57"/>
        <v>#NAME?</v>
      </c>
      <c r="M144" s="26">
        <f t="shared" si="58"/>
        <v>45.02052410365607</v>
      </c>
      <c r="N144" s="37" t="e">
        <f t="shared" si="59"/>
        <v>#NAME?</v>
      </c>
      <c r="O144" s="57" t="e">
        <f t="shared" si="49"/>
        <v>#NAME?</v>
      </c>
      <c r="P144" s="57" t="e">
        <f t="shared" si="60"/>
        <v>#NAME?</v>
      </c>
      <c r="Q144" s="57" t="e">
        <f t="shared" si="61"/>
        <v>#NAME?</v>
      </c>
      <c r="R144" s="58" t="e">
        <f t="shared" si="62"/>
        <v>#NAME?</v>
      </c>
      <c r="T144" s="132" t="e">
        <f t="shared" si="46"/>
        <v>#NAME?</v>
      </c>
      <c r="U144" s="58" t="e">
        <f t="shared" si="47"/>
        <v>#NAME?</v>
      </c>
    </row>
    <row r="145" spans="1:21" ht="12.75">
      <c r="A145" s="52">
        <f ca="1" t="shared" si="51"/>
        <v>0.8890091651730739</v>
      </c>
      <c r="B145" s="48">
        <f t="shared" si="52"/>
        <v>1.2212756500413882</v>
      </c>
      <c r="D145" s="2">
        <v>99</v>
      </c>
      <c r="E145" s="35">
        <f t="shared" si="48"/>
        <v>0.27123287671232876</v>
      </c>
      <c r="F145" s="26">
        <f t="shared" si="53"/>
        <v>57.16285003766996</v>
      </c>
      <c r="G145" s="37" t="e">
        <f t="shared" si="54"/>
        <v>#NAME?</v>
      </c>
      <c r="H145" s="57" t="e">
        <f t="shared" si="50"/>
        <v>#NAME?</v>
      </c>
      <c r="I145" s="57" t="e">
        <f t="shared" si="55"/>
        <v>#NAME?</v>
      </c>
      <c r="J145" s="57" t="e">
        <f t="shared" si="56"/>
        <v>#NAME?</v>
      </c>
      <c r="K145" s="58" t="e">
        <f t="shared" si="57"/>
        <v>#NAME?</v>
      </c>
      <c r="M145" s="26">
        <f t="shared" si="58"/>
        <v>44.452258516512096</v>
      </c>
      <c r="N145" s="37" t="e">
        <f t="shared" si="59"/>
        <v>#NAME?</v>
      </c>
      <c r="O145" s="57" t="e">
        <f t="shared" si="49"/>
        <v>#NAME?</v>
      </c>
      <c r="P145" s="57" t="e">
        <f t="shared" si="60"/>
        <v>#NAME?</v>
      </c>
      <c r="Q145" s="57" t="e">
        <f t="shared" si="61"/>
        <v>#NAME?</v>
      </c>
      <c r="R145" s="58" t="e">
        <f t="shared" si="62"/>
        <v>#NAME?</v>
      </c>
      <c r="T145" s="132" t="e">
        <f t="shared" si="46"/>
        <v>#NAME?</v>
      </c>
      <c r="U145" s="58" t="e">
        <f t="shared" si="47"/>
        <v>#NAME?</v>
      </c>
    </row>
    <row r="146" spans="1:21" ht="12.75">
      <c r="A146" s="52">
        <f ca="1" t="shared" si="51"/>
        <v>0.659710943876261</v>
      </c>
      <c r="B146" s="48">
        <f t="shared" si="52"/>
        <v>0.411674371287714</v>
      </c>
      <c r="D146" s="2">
        <v>100</v>
      </c>
      <c r="E146" s="35">
        <f t="shared" si="48"/>
        <v>0.273972602739726</v>
      </c>
      <c r="F146" s="26">
        <f t="shared" si="53"/>
        <v>57.41444970037843</v>
      </c>
      <c r="G146" s="37" t="e">
        <f t="shared" si="54"/>
        <v>#NAME?</v>
      </c>
      <c r="H146" s="57" t="e">
        <f t="shared" si="50"/>
        <v>#NAME?</v>
      </c>
      <c r="I146" s="57" t="e">
        <f t="shared" si="55"/>
        <v>#NAME?</v>
      </c>
      <c r="J146" s="57" t="e">
        <f t="shared" si="56"/>
        <v>#NAME?</v>
      </c>
      <c r="K146" s="58" t="e">
        <f t="shared" si="57"/>
        <v>#NAME?</v>
      </c>
      <c r="M146" s="26">
        <f t="shared" si="58"/>
        <v>44.264737127420005</v>
      </c>
      <c r="N146" s="37" t="e">
        <f t="shared" si="59"/>
        <v>#NAME?</v>
      </c>
      <c r="O146" s="57" t="e">
        <f t="shared" si="49"/>
        <v>#NAME?</v>
      </c>
      <c r="P146" s="57" t="e">
        <f t="shared" si="60"/>
        <v>#NAME?</v>
      </c>
      <c r="Q146" s="57" t="e">
        <f t="shared" si="61"/>
        <v>#NAME?</v>
      </c>
      <c r="R146" s="58" t="e">
        <f t="shared" si="62"/>
        <v>#NAME?</v>
      </c>
      <c r="T146" s="132" t="e">
        <f t="shared" si="46"/>
        <v>#NAME?</v>
      </c>
      <c r="U146" s="58" t="e">
        <f t="shared" si="47"/>
        <v>#NAME?</v>
      </c>
    </row>
    <row r="147" spans="1:21" ht="12.75">
      <c r="A147" s="52">
        <f ca="1" t="shared" si="51"/>
        <v>0.8773752118007553</v>
      </c>
      <c r="B147" s="48">
        <f t="shared" si="52"/>
        <v>1.161965260380177</v>
      </c>
      <c r="D147" s="2">
        <v>101</v>
      </c>
      <c r="E147" s="35">
        <f t="shared" si="48"/>
        <v>0.27671232876712326</v>
      </c>
      <c r="F147" s="26">
        <f t="shared" si="53"/>
        <v>58.12188137219135</v>
      </c>
      <c r="G147" s="37" t="e">
        <f t="shared" si="54"/>
        <v>#NAME?</v>
      </c>
      <c r="H147" s="57" t="e">
        <f t="shared" si="50"/>
        <v>#NAME?</v>
      </c>
      <c r="I147" s="57" t="e">
        <f t="shared" si="55"/>
        <v>#NAME?</v>
      </c>
      <c r="J147" s="57" t="e">
        <f t="shared" si="56"/>
        <v>#NAME?</v>
      </c>
      <c r="K147" s="58" t="e">
        <f t="shared" si="57"/>
        <v>#NAME?</v>
      </c>
      <c r="M147" s="26">
        <f t="shared" si="58"/>
        <v>43.73315639230251</v>
      </c>
      <c r="N147" s="37" t="e">
        <f t="shared" si="59"/>
        <v>#NAME?</v>
      </c>
      <c r="O147" s="57" t="e">
        <f t="shared" si="49"/>
        <v>#NAME?</v>
      </c>
      <c r="P147" s="57" t="e">
        <f t="shared" si="60"/>
        <v>#NAME?</v>
      </c>
      <c r="Q147" s="57" t="e">
        <f t="shared" si="61"/>
        <v>#NAME?</v>
      </c>
      <c r="R147" s="58" t="e">
        <f t="shared" si="62"/>
        <v>#NAME?</v>
      </c>
      <c r="T147" s="132" t="e">
        <f t="shared" si="46"/>
        <v>#NAME?</v>
      </c>
      <c r="U147" s="58" t="e">
        <f t="shared" si="47"/>
        <v>#NAME?</v>
      </c>
    </row>
    <row r="148" spans="1:21" ht="12.75">
      <c r="A148" s="52">
        <f ca="1" t="shared" si="51"/>
        <v>0.6496691202729304</v>
      </c>
      <c r="B148" s="48">
        <f t="shared" si="52"/>
        <v>0.38442731379574036</v>
      </c>
      <c r="D148" s="2">
        <v>102</v>
      </c>
      <c r="E148" s="35">
        <f t="shared" si="48"/>
        <v>0.27945205479452057</v>
      </c>
      <c r="F148" s="26">
        <f t="shared" si="53"/>
        <v>58.36105316433598</v>
      </c>
      <c r="G148" s="37" t="e">
        <f t="shared" si="54"/>
        <v>#NAME?</v>
      </c>
      <c r="H148" s="57" t="e">
        <f t="shared" si="50"/>
        <v>#NAME?</v>
      </c>
      <c r="I148" s="57" t="e">
        <f t="shared" si="55"/>
        <v>#NAME?</v>
      </c>
      <c r="J148" s="57" t="e">
        <f t="shared" si="56"/>
        <v>#NAME?</v>
      </c>
      <c r="K148" s="58" t="e">
        <f t="shared" si="57"/>
        <v>#NAME?</v>
      </c>
      <c r="M148" s="26">
        <f t="shared" si="58"/>
        <v>43.56109191440155</v>
      </c>
      <c r="N148" s="37" t="e">
        <f t="shared" si="59"/>
        <v>#NAME?</v>
      </c>
      <c r="O148" s="57" t="e">
        <f t="shared" si="49"/>
        <v>#NAME?</v>
      </c>
      <c r="P148" s="57" t="e">
        <f t="shared" si="60"/>
        <v>#NAME?</v>
      </c>
      <c r="Q148" s="57" t="e">
        <f t="shared" si="61"/>
        <v>#NAME?</v>
      </c>
      <c r="R148" s="58" t="e">
        <f t="shared" si="62"/>
        <v>#NAME?</v>
      </c>
      <c r="T148" s="132" t="e">
        <f t="shared" si="46"/>
        <v>#NAME?</v>
      </c>
      <c r="U148" s="58" t="e">
        <f t="shared" si="47"/>
        <v>#NAME?</v>
      </c>
    </row>
    <row r="149" spans="1:21" ht="12.75">
      <c r="A149" s="52">
        <f ca="1" t="shared" si="51"/>
        <v>0.7123280394268798</v>
      </c>
      <c r="B149" s="48">
        <f t="shared" si="52"/>
        <v>0.5601986889979946</v>
      </c>
      <c r="D149" s="2">
        <v>103</v>
      </c>
      <c r="E149" s="35">
        <f t="shared" si="48"/>
        <v>0.2821917808219178</v>
      </c>
      <c r="F149" s="26">
        <f t="shared" si="53"/>
        <v>58.70913809052056</v>
      </c>
      <c r="G149" s="37" t="e">
        <f t="shared" si="54"/>
        <v>#NAME?</v>
      </c>
      <c r="H149" s="57" t="e">
        <f t="shared" si="50"/>
        <v>#NAME?</v>
      </c>
      <c r="I149" s="57" t="e">
        <f t="shared" si="55"/>
        <v>#NAME?</v>
      </c>
      <c r="J149" s="57" t="e">
        <f t="shared" si="56"/>
        <v>#NAME?</v>
      </c>
      <c r="K149" s="58" t="e">
        <f t="shared" si="57"/>
        <v>#NAME?</v>
      </c>
      <c r="M149" s="26">
        <f t="shared" si="58"/>
        <v>43.30993820991939</v>
      </c>
      <c r="N149" s="37" t="e">
        <f t="shared" si="59"/>
        <v>#NAME?</v>
      </c>
      <c r="O149" s="57" t="e">
        <f t="shared" si="49"/>
        <v>#NAME?</v>
      </c>
      <c r="P149" s="57" t="e">
        <f t="shared" si="60"/>
        <v>#NAME?</v>
      </c>
      <c r="Q149" s="57" t="e">
        <f t="shared" si="61"/>
        <v>#NAME?</v>
      </c>
      <c r="R149" s="58" t="e">
        <f t="shared" si="62"/>
        <v>#NAME?</v>
      </c>
      <c r="T149" s="132" t="e">
        <f t="shared" si="46"/>
        <v>#NAME?</v>
      </c>
      <c r="U149" s="58" t="e">
        <f t="shared" si="47"/>
        <v>#NAME?</v>
      </c>
    </row>
    <row r="150" spans="1:21" ht="12.75">
      <c r="A150" s="52">
        <f ca="1" t="shared" si="51"/>
        <v>0.0745074399881973</v>
      </c>
      <c r="B150" s="48">
        <f t="shared" si="52"/>
        <v>-1.443019848605544</v>
      </c>
      <c r="D150" s="2">
        <v>104</v>
      </c>
      <c r="E150" s="35">
        <f t="shared" si="48"/>
        <v>0.28493150684931506</v>
      </c>
      <c r="F150" s="26">
        <f t="shared" si="53"/>
        <v>57.83368311297104</v>
      </c>
      <c r="G150" s="37" t="e">
        <f t="shared" si="54"/>
        <v>#NAME?</v>
      </c>
      <c r="H150" s="57" t="e">
        <f t="shared" si="50"/>
        <v>#NAME?</v>
      </c>
      <c r="I150" s="57" t="e">
        <f t="shared" si="55"/>
        <v>#NAME?</v>
      </c>
      <c r="J150" s="57" t="e">
        <f t="shared" si="56"/>
        <v>#NAME?</v>
      </c>
      <c r="K150" s="58" t="e">
        <f t="shared" si="57"/>
        <v>#NAME?</v>
      </c>
      <c r="M150" s="26">
        <f t="shared" si="58"/>
        <v>43.97276840805743</v>
      </c>
      <c r="N150" s="37" t="e">
        <f t="shared" si="59"/>
        <v>#NAME?</v>
      </c>
      <c r="O150" s="57" t="e">
        <f t="shared" si="49"/>
        <v>#NAME?</v>
      </c>
      <c r="P150" s="57" t="e">
        <f t="shared" si="60"/>
        <v>#NAME?</v>
      </c>
      <c r="Q150" s="57" t="e">
        <f t="shared" si="61"/>
        <v>#NAME?</v>
      </c>
      <c r="R150" s="58" t="e">
        <f t="shared" si="62"/>
        <v>#NAME?</v>
      </c>
      <c r="T150" s="132" t="e">
        <f t="shared" si="46"/>
        <v>#NAME?</v>
      </c>
      <c r="U150" s="58" t="e">
        <f t="shared" si="47"/>
        <v>#NAME?</v>
      </c>
    </row>
    <row r="151" spans="1:21" ht="12.75">
      <c r="A151" s="52">
        <f ca="1" t="shared" si="51"/>
        <v>0.02790709797528164</v>
      </c>
      <c r="B151" s="48">
        <f t="shared" si="52"/>
        <v>-1.9124835861332405</v>
      </c>
      <c r="D151" s="2">
        <v>105</v>
      </c>
      <c r="E151" s="35">
        <f t="shared" si="48"/>
        <v>0.2876712328767123</v>
      </c>
      <c r="F151" s="26">
        <f t="shared" si="53"/>
        <v>56.69198015943123</v>
      </c>
      <c r="G151" s="37" t="e">
        <f t="shared" si="54"/>
        <v>#NAME?</v>
      </c>
      <c r="H151" s="57" t="e">
        <f t="shared" si="50"/>
        <v>#NAME?</v>
      </c>
      <c r="I151" s="57" t="e">
        <f t="shared" si="55"/>
        <v>#NAME?</v>
      </c>
      <c r="J151" s="57" t="e">
        <f t="shared" si="56"/>
        <v>#NAME?</v>
      </c>
      <c r="K151" s="58" t="e">
        <f t="shared" si="57"/>
        <v>#NAME?</v>
      </c>
      <c r="M151" s="26">
        <f t="shared" si="58"/>
        <v>44.86569751015894</v>
      </c>
      <c r="N151" s="37" t="e">
        <f t="shared" si="59"/>
        <v>#NAME?</v>
      </c>
      <c r="O151" s="57" t="e">
        <f t="shared" si="49"/>
        <v>#NAME?</v>
      </c>
      <c r="P151" s="57" t="e">
        <f t="shared" si="60"/>
        <v>#NAME?</v>
      </c>
      <c r="Q151" s="57" t="e">
        <f t="shared" si="61"/>
        <v>#NAME?</v>
      </c>
      <c r="R151" s="58" t="e">
        <f t="shared" si="62"/>
        <v>#NAME?</v>
      </c>
      <c r="T151" s="132" t="e">
        <f t="shared" si="46"/>
        <v>#NAME?</v>
      </c>
      <c r="U151" s="58" t="e">
        <f t="shared" si="47"/>
        <v>#NAME?</v>
      </c>
    </row>
    <row r="152" spans="1:21" ht="12.75">
      <c r="A152" s="52">
        <f ca="1" t="shared" si="51"/>
        <v>0.6291595863305625</v>
      </c>
      <c r="B152" s="48">
        <f t="shared" si="52"/>
        <v>0.3296283119388127</v>
      </c>
      <c r="D152" s="2">
        <v>106</v>
      </c>
      <c r="E152" s="35">
        <f t="shared" si="48"/>
        <v>0.29041095890410956</v>
      </c>
      <c r="F152" s="26">
        <f t="shared" si="53"/>
        <v>56.89262139413686</v>
      </c>
      <c r="G152" s="37" t="e">
        <f t="shared" si="54"/>
        <v>#NAME?</v>
      </c>
      <c r="H152" s="57" t="e">
        <f t="shared" si="50"/>
        <v>#NAME?</v>
      </c>
      <c r="I152" s="57" t="e">
        <f t="shared" si="55"/>
        <v>#NAME?</v>
      </c>
      <c r="J152" s="57" t="e">
        <f t="shared" si="56"/>
        <v>#NAME?</v>
      </c>
      <c r="K152" s="58" t="e">
        <f t="shared" si="57"/>
        <v>#NAME?</v>
      </c>
      <c r="M152" s="26">
        <f t="shared" si="58"/>
        <v>44.71482098821842</v>
      </c>
      <c r="N152" s="37" t="e">
        <f t="shared" si="59"/>
        <v>#NAME?</v>
      </c>
      <c r="O152" s="57" t="e">
        <f t="shared" si="49"/>
        <v>#NAME?</v>
      </c>
      <c r="P152" s="57" t="e">
        <f t="shared" si="60"/>
        <v>#NAME?</v>
      </c>
      <c r="Q152" s="57" t="e">
        <f t="shared" si="61"/>
        <v>#NAME?</v>
      </c>
      <c r="R152" s="58" t="e">
        <f t="shared" si="62"/>
        <v>#NAME?</v>
      </c>
      <c r="T152" s="132" t="e">
        <f t="shared" si="46"/>
        <v>#NAME?</v>
      </c>
      <c r="U152" s="58" t="e">
        <f t="shared" si="47"/>
        <v>#NAME?</v>
      </c>
    </row>
    <row r="153" spans="1:21" ht="12.75">
      <c r="A153" s="52">
        <f ca="1" t="shared" si="51"/>
        <v>0.4851285205522812</v>
      </c>
      <c r="B153" s="48">
        <f t="shared" si="52"/>
        <v>-0.037285908455078995</v>
      </c>
      <c r="D153" s="2">
        <v>107</v>
      </c>
      <c r="E153" s="35">
        <f t="shared" si="48"/>
        <v>0.29315068493150687</v>
      </c>
      <c r="F153" s="26">
        <f t="shared" si="53"/>
        <v>56.8750934897981</v>
      </c>
      <c r="G153" s="37" t="e">
        <f t="shared" si="54"/>
        <v>#NAME?</v>
      </c>
      <c r="H153" s="57" t="e">
        <f t="shared" si="50"/>
        <v>#NAME?</v>
      </c>
      <c r="I153" s="57" t="e">
        <f t="shared" si="55"/>
        <v>#NAME?</v>
      </c>
      <c r="J153" s="57" t="e">
        <f t="shared" si="56"/>
        <v>#NAME?</v>
      </c>
      <c r="K153" s="58" t="e">
        <f t="shared" si="57"/>
        <v>#NAME?</v>
      </c>
      <c r="M153" s="26">
        <f t="shared" si="58"/>
        <v>44.73595456141752</v>
      </c>
      <c r="N153" s="37" t="e">
        <f t="shared" si="59"/>
        <v>#NAME?</v>
      </c>
      <c r="O153" s="57" t="e">
        <f t="shared" si="49"/>
        <v>#NAME?</v>
      </c>
      <c r="P153" s="57" t="e">
        <f t="shared" si="60"/>
        <v>#NAME?</v>
      </c>
      <c r="Q153" s="57" t="e">
        <f t="shared" si="61"/>
        <v>#NAME?</v>
      </c>
      <c r="R153" s="58" t="e">
        <f t="shared" si="62"/>
        <v>#NAME?</v>
      </c>
      <c r="T153" s="132" t="e">
        <f t="shared" si="46"/>
        <v>#NAME?</v>
      </c>
      <c r="U153" s="58" t="e">
        <f t="shared" si="47"/>
        <v>#NAME?</v>
      </c>
    </row>
    <row r="154" spans="1:21" ht="12.75">
      <c r="A154" s="52">
        <f ca="1" t="shared" si="51"/>
        <v>0.9567820005651745</v>
      </c>
      <c r="B154" s="48">
        <f t="shared" si="52"/>
        <v>1.7145051128718078</v>
      </c>
      <c r="D154" s="2">
        <v>108</v>
      </c>
      <c r="E154" s="35">
        <f t="shared" si="48"/>
        <v>0.2958904109589041</v>
      </c>
      <c r="F154" s="26">
        <f t="shared" si="53"/>
        <v>57.9098778922125</v>
      </c>
      <c r="G154" s="37" t="e">
        <f t="shared" si="54"/>
        <v>#NAME?</v>
      </c>
      <c r="H154" s="57" t="e">
        <f t="shared" si="50"/>
        <v>#NAME?</v>
      </c>
      <c r="I154" s="57" t="e">
        <f t="shared" si="55"/>
        <v>#NAME?</v>
      </c>
      <c r="J154" s="57" t="e">
        <f t="shared" si="56"/>
        <v>#NAME?</v>
      </c>
      <c r="K154" s="58" t="e">
        <f t="shared" si="57"/>
        <v>#NAME?</v>
      </c>
      <c r="M154" s="26">
        <f t="shared" si="58"/>
        <v>43.94379639986229</v>
      </c>
      <c r="N154" s="37" t="e">
        <f t="shared" si="59"/>
        <v>#NAME?</v>
      </c>
      <c r="O154" s="57" t="e">
        <f t="shared" si="49"/>
        <v>#NAME?</v>
      </c>
      <c r="P154" s="57" t="e">
        <f t="shared" si="60"/>
        <v>#NAME?</v>
      </c>
      <c r="Q154" s="57" t="e">
        <f t="shared" si="61"/>
        <v>#NAME?</v>
      </c>
      <c r="R154" s="58" t="e">
        <f t="shared" si="62"/>
        <v>#NAME?</v>
      </c>
      <c r="T154" s="132" t="e">
        <f t="shared" si="46"/>
        <v>#NAME?</v>
      </c>
      <c r="U154" s="58" t="e">
        <f t="shared" si="47"/>
        <v>#NAME?</v>
      </c>
    </row>
    <row r="155" spans="1:21" ht="12.75">
      <c r="A155" s="52">
        <f ca="1" t="shared" si="51"/>
        <v>0.2843454974339885</v>
      </c>
      <c r="B155" s="48">
        <f t="shared" si="52"/>
        <v>-0.5699803955356206</v>
      </c>
      <c r="D155" s="2">
        <v>109</v>
      </c>
      <c r="E155" s="35">
        <f t="shared" si="48"/>
        <v>0.29863013698630136</v>
      </c>
      <c r="F155" s="26">
        <f t="shared" si="53"/>
        <v>57.57010007179291</v>
      </c>
      <c r="G155" s="37" t="e">
        <f t="shared" si="54"/>
        <v>#NAME?</v>
      </c>
      <c r="H155" s="57" t="e">
        <f t="shared" si="50"/>
        <v>#NAME?</v>
      </c>
      <c r="I155" s="57" t="e">
        <f t="shared" si="55"/>
        <v>#NAME?</v>
      </c>
      <c r="J155" s="57" t="e">
        <f t="shared" si="56"/>
        <v>#NAME?</v>
      </c>
      <c r="K155" s="58" t="e">
        <f t="shared" si="57"/>
        <v>#NAME?</v>
      </c>
      <c r="M155" s="26">
        <f t="shared" si="58"/>
        <v>44.210418860267716</v>
      </c>
      <c r="N155" s="37" t="e">
        <f t="shared" si="59"/>
        <v>#NAME?</v>
      </c>
      <c r="O155" s="57" t="e">
        <f t="shared" si="49"/>
        <v>#NAME?</v>
      </c>
      <c r="P155" s="57" t="e">
        <f t="shared" si="60"/>
        <v>#NAME?</v>
      </c>
      <c r="Q155" s="57" t="e">
        <f t="shared" si="61"/>
        <v>#NAME?</v>
      </c>
      <c r="R155" s="58" t="e">
        <f t="shared" si="62"/>
        <v>#NAME?</v>
      </c>
      <c r="T155" s="132" t="e">
        <f t="shared" si="46"/>
        <v>#NAME?</v>
      </c>
      <c r="U155" s="58" t="e">
        <f t="shared" si="47"/>
        <v>#NAME?</v>
      </c>
    </row>
    <row r="156" spans="1:21" ht="12.75">
      <c r="A156" s="52">
        <f ca="1" t="shared" si="51"/>
        <v>0.3335005828100174</v>
      </c>
      <c r="B156" s="48">
        <f t="shared" si="52"/>
        <v>-0.4302673624965343</v>
      </c>
      <c r="D156" s="2">
        <v>110</v>
      </c>
      <c r="E156" s="35">
        <f t="shared" si="48"/>
        <v>0.3013698630136986</v>
      </c>
      <c r="F156" s="26">
        <f t="shared" si="53"/>
        <v>57.316084097692006</v>
      </c>
      <c r="G156" s="37" t="e">
        <f t="shared" si="54"/>
        <v>#NAME?</v>
      </c>
      <c r="H156" s="57" t="e">
        <f t="shared" si="50"/>
        <v>#NAME?</v>
      </c>
      <c r="I156" s="57" t="e">
        <f t="shared" si="55"/>
        <v>#NAME?</v>
      </c>
      <c r="J156" s="57" t="e">
        <f t="shared" si="56"/>
        <v>#NAME?</v>
      </c>
      <c r="K156" s="58" t="e">
        <f t="shared" si="57"/>
        <v>#NAME?</v>
      </c>
      <c r="M156" s="26">
        <f t="shared" si="58"/>
        <v>44.41365283790301</v>
      </c>
      <c r="N156" s="37" t="e">
        <f t="shared" si="59"/>
        <v>#NAME?</v>
      </c>
      <c r="O156" s="57" t="e">
        <f t="shared" si="49"/>
        <v>#NAME?</v>
      </c>
      <c r="P156" s="57" t="e">
        <f t="shared" si="60"/>
        <v>#NAME?</v>
      </c>
      <c r="Q156" s="57" t="e">
        <f t="shared" si="61"/>
        <v>#NAME?</v>
      </c>
      <c r="R156" s="58" t="e">
        <f t="shared" si="62"/>
        <v>#NAME?</v>
      </c>
      <c r="T156" s="132" t="e">
        <f t="shared" si="46"/>
        <v>#NAME?</v>
      </c>
      <c r="U156" s="58" t="e">
        <f t="shared" si="47"/>
        <v>#NAME?</v>
      </c>
    </row>
    <row r="157" spans="1:21" ht="12.75">
      <c r="A157" s="52">
        <f ca="1" t="shared" si="51"/>
        <v>0.7356989045628041</v>
      </c>
      <c r="B157" s="48">
        <f t="shared" si="52"/>
        <v>0.6301412231018684</v>
      </c>
      <c r="D157" s="2">
        <v>111</v>
      </c>
      <c r="E157" s="35">
        <f t="shared" si="48"/>
        <v>0.3041095890410959</v>
      </c>
      <c r="F157" s="26">
        <f t="shared" si="53"/>
        <v>57.700168611156606</v>
      </c>
      <c r="G157" s="37" t="e">
        <f t="shared" si="54"/>
        <v>#NAME?</v>
      </c>
      <c r="H157" s="57" t="e">
        <f t="shared" si="50"/>
        <v>#NAME?</v>
      </c>
      <c r="I157" s="57" t="e">
        <f t="shared" si="55"/>
        <v>#NAME?</v>
      </c>
      <c r="J157" s="57" t="e">
        <f t="shared" si="56"/>
        <v>#NAME?</v>
      </c>
      <c r="K157" s="58" t="e">
        <f t="shared" si="57"/>
        <v>#NAME?</v>
      </c>
      <c r="M157" s="26">
        <f t="shared" si="58"/>
        <v>44.12526365788905</v>
      </c>
      <c r="N157" s="37" t="e">
        <f t="shared" si="59"/>
        <v>#NAME?</v>
      </c>
      <c r="O157" s="57" t="e">
        <f t="shared" si="49"/>
        <v>#NAME?</v>
      </c>
      <c r="P157" s="57" t="e">
        <f t="shared" si="60"/>
        <v>#NAME?</v>
      </c>
      <c r="Q157" s="57" t="e">
        <f t="shared" si="61"/>
        <v>#NAME?</v>
      </c>
      <c r="R157" s="58" t="e">
        <f t="shared" si="62"/>
        <v>#NAME?</v>
      </c>
      <c r="T157" s="132" t="e">
        <f t="shared" si="46"/>
        <v>#NAME?</v>
      </c>
      <c r="U157" s="58" t="e">
        <f t="shared" si="47"/>
        <v>#NAME?</v>
      </c>
    </row>
    <row r="158" spans="1:21" ht="12.75">
      <c r="A158" s="52">
        <f ca="1" t="shared" si="51"/>
        <v>0.16055000106082842</v>
      </c>
      <c r="B158" s="48">
        <f t="shared" si="52"/>
        <v>-0.9921999392948673</v>
      </c>
      <c r="D158" s="2">
        <v>112</v>
      </c>
      <c r="E158" s="35">
        <f t="shared" si="48"/>
        <v>0.30684931506849317</v>
      </c>
      <c r="F158" s="26">
        <f t="shared" si="53"/>
        <v>57.10864257614926</v>
      </c>
      <c r="G158" s="37" t="e">
        <f t="shared" si="54"/>
        <v>#NAME?</v>
      </c>
      <c r="H158" s="57" t="e">
        <f t="shared" si="50"/>
        <v>#NAME?</v>
      </c>
      <c r="I158" s="57" t="e">
        <f t="shared" si="55"/>
        <v>#NAME?</v>
      </c>
      <c r="J158" s="57" t="e">
        <f t="shared" si="56"/>
        <v>#NAME?</v>
      </c>
      <c r="K158" s="58" t="e">
        <f t="shared" si="57"/>
        <v>#NAME?</v>
      </c>
      <c r="M158" s="26">
        <f t="shared" si="58"/>
        <v>44.58963825666689</v>
      </c>
      <c r="N158" s="37" t="e">
        <f t="shared" si="59"/>
        <v>#NAME?</v>
      </c>
      <c r="O158" s="57" t="e">
        <f t="shared" si="49"/>
        <v>#NAME?</v>
      </c>
      <c r="P158" s="57" t="e">
        <f t="shared" si="60"/>
        <v>#NAME?</v>
      </c>
      <c r="Q158" s="57" t="e">
        <f t="shared" si="61"/>
        <v>#NAME?</v>
      </c>
      <c r="R158" s="58" t="e">
        <f t="shared" si="62"/>
        <v>#NAME?</v>
      </c>
      <c r="T158" s="132" t="e">
        <f t="shared" si="46"/>
        <v>#NAME?</v>
      </c>
      <c r="U158" s="58" t="e">
        <f t="shared" si="47"/>
        <v>#NAME?</v>
      </c>
    </row>
    <row r="159" spans="1:21" ht="12.75">
      <c r="A159" s="52">
        <f ca="1" t="shared" si="51"/>
        <v>0.6003661366287706</v>
      </c>
      <c r="B159" s="48">
        <f t="shared" si="52"/>
        <v>0.25429491657342984</v>
      </c>
      <c r="D159" s="2">
        <v>113</v>
      </c>
      <c r="E159" s="35">
        <f t="shared" si="48"/>
        <v>0.3095890410958904</v>
      </c>
      <c r="F159" s="26">
        <f t="shared" si="53"/>
        <v>57.2655795015779</v>
      </c>
      <c r="G159" s="37" t="e">
        <f t="shared" si="54"/>
        <v>#NAME?</v>
      </c>
      <c r="H159" s="57" t="e">
        <f t="shared" si="50"/>
        <v>#NAME?</v>
      </c>
      <c r="I159" s="57" t="e">
        <f t="shared" si="55"/>
        <v>#NAME?</v>
      </c>
      <c r="J159" s="57" t="e">
        <f t="shared" si="56"/>
        <v>#NAME?</v>
      </c>
      <c r="K159" s="58" t="e">
        <f t="shared" si="57"/>
        <v>#NAME?</v>
      </c>
      <c r="M159" s="26">
        <f t="shared" si="58"/>
        <v>44.47475019907208</v>
      </c>
      <c r="N159" s="37" t="e">
        <f t="shared" si="59"/>
        <v>#NAME?</v>
      </c>
      <c r="O159" s="57" t="e">
        <f t="shared" si="49"/>
        <v>#NAME?</v>
      </c>
      <c r="P159" s="57" t="e">
        <f t="shared" si="60"/>
        <v>#NAME?</v>
      </c>
      <c r="Q159" s="57" t="e">
        <f t="shared" si="61"/>
        <v>#NAME?</v>
      </c>
      <c r="R159" s="58" t="e">
        <f t="shared" si="62"/>
        <v>#NAME?</v>
      </c>
      <c r="T159" s="132" t="e">
        <f t="shared" si="46"/>
        <v>#NAME?</v>
      </c>
      <c r="U159" s="58" t="e">
        <f t="shared" si="47"/>
        <v>#NAME?</v>
      </c>
    </row>
    <row r="160" spans="1:21" ht="12.75">
      <c r="A160" s="52">
        <f ca="1" t="shared" si="51"/>
        <v>0.5855924135396605</v>
      </c>
      <c r="B160" s="48">
        <f t="shared" si="52"/>
        <v>0.21622140046817784</v>
      </c>
      <c r="D160" s="2">
        <v>114</v>
      </c>
      <c r="E160" s="35">
        <f t="shared" si="48"/>
        <v>0.31232876712328766</v>
      </c>
      <c r="F160" s="26">
        <f t="shared" si="53"/>
        <v>57.40006509004496</v>
      </c>
      <c r="G160" s="37" t="e">
        <f t="shared" si="54"/>
        <v>#NAME?</v>
      </c>
      <c r="H160" s="57" t="e">
        <f t="shared" si="50"/>
        <v>#NAME?</v>
      </c>
      <c r="I160" s="57" t="e">
        <f t="shared" si="55"/>
        <v>#NAME?</v>
      </c>
      <c r="J160" s="57" t="e">
        <f t="shared" si="56"/>
        <v>#NAME?</v>
      </c>
      <c r="K160" s="58" t="e">
        <f t="shared" si="57"/>
        <v>#NAME?</v>
      </c>
      <c r="M160" s="26">
        <f t="shared" si="58"/>
        <v>44.377842389224654</v>
      </c>
      <c r="N160" s="37" t="e">
        <f t="shared" si="59"/>
        <v>#NAME?</v>
      </c>
      <c r="O160" s="57" t="e">
        <f t="shared" si="49"/>
        <v>#NAME?</v>
      </c>
      <c r="P160" s="57" t="e">
        <f t="shared" si="60"/>
        <v>#NAME?</v>
      </c>
      <c r="Q160" s="57" t="e">
        <f t="shared" si="61"/>
        <v>#NAME?</v>
      </c>
      <c r="R160" s="58" t="e">
        <f t="shared" si="62"/>
        <v>#NAME?</v>
      </c>
      <c r="T160" s="132" t="e">
        <f t="shared" si="46"/>
        <v>#NAME?</v>
      </c>
      <c r="U160" s="58" t="e">
        <f t="shared" si="47"/>
        <v>#NAME?</v>
      </c>
    </row>
    <row r="161" spans="1:21" ht="12.75">
      <c r="A161" s="52">
        <f ca="1" t="shared" si="51"/>
        <v>0.49939019631353504</v>
      </c>
      <c r="B161" s="48">
        <f t="shared" si="52"/>
        <v>-0.0015285517577030873</v>
      </c>
      <c r="D161" s="2">
        <v>115</v>
      </c>
      <c r="E161" s="35">
        <f t="shared" si="48"/>
        <v>0.3150684931506849</v>
      </c>
      <c r="F161" s="26">
        <f t="shared" si="53"/>
        <v>57.403864535834735</v>
      </c>
      <c r="G161" s="37" t="e">
        <f t="shared" si="54"/>
        <v>#NAME?</v>
      </c>
      <c r="H161" s="57" t="e">
        <f t="shared" si="50"/>
        <v>#NAME?</v>
      </c>
      <c r="I161" s="57" t="e">
        <f t="shared" si="55"/>
        <v>#NAME?</v>
      </c>
      <c r="J161" s="57" t="e">
        <f t="shared" si="56"/>
        <v>#NAME?</v>
      </c>
      <c r="K161" s="58" t="e">
        <f t="shared" si="57"/>
        <v>#NAME?</v>
      </c>
      <c r="M161" s="26">
        <f t="shared" si="58"/>
        <v>44.38220021404801</v>
      </c>
      <c r="N161" s="37" t="e">
        <f t="shared" si="59"/>
        <v>#NAME?</v>
      </c>
      <c r="O161" s="57" t="e">
        <f t="shared" si="49"/>
        <v>#NAME?</v>
      </c>
      <c r="P161" s="57" t="e">
        <f t="shared" si="60"/>
        <v>#NAME?</v>
      </c>
      <c r="Q161" s="57" t="e">
        <f t="shared" si="61"/>
        <v>#NAME?</v>
      </c>
      <c r="R161" s="58" t="e">
        <f t="shared" si="62"/>
        <v>#NAME?</v>
      </c>
      <c r="T161" s="132" t="e">
        <f t="shared" si="46"/>
        <v>#NAME?</v>
      </c>
      <c r="U161" s="58" t="e">
        <f t="shared" si="47"/>
        <v>#NAME?</v>
      </c>
    </row>
    <row r="162" spans="1:21" ht="12.75">
      <c r="A162" s="52">
        <f ca="1" t="shared" si="51"/>
        <v>0.7404565738064165</v>
      </c>
      <c r="B162" s="48">
        <f t="shared" si="52"/>
        <v>0.6447536353423835</v>
      </c>
      <c r="D162" s="2">
        <v>116</v>
      </c>
      <c r="E162" s="35">
        <f t="shared" si="48"/>
        <v>0.3178082191780822</v>
      </c>
      <c r="F162" s="26">
        <f t="shared" si="53"/>
        <v>57.79737785313749</v>
      </c>
      <c r="G162" s="37" t="e">
        <f t="shared" si="54"/>
        <v>#NAME?</v>
      </c>
      <c r="H162" s="57" t="e">
        <f t="shared" si="50"/>
        <v>#NAME?</v>
      </c>
      <c r="I162" s="57" t="e">
        <f t="shared" si="55"/>
        <v>#NAME?</v>
      </c>
      <c r="J162" s="57" t="e">
        <f t="shared" si="56"/>
        <v>#NAME?</v>
      </c>
      <c r="K162" s="58" t="e">
        <f t="shared" si="57"/>
        <v>#NAME?</v>
      </c>
      <c r="M162" s="26">
        <f t="shared" si="58"/>
        <v>44.08727073052746</v>
      </c>
      <c r="N162" s="37" t="e">
        <f t="shared" si="59"/>
        <v>#NAME?</v>
      </c>
      <c r="O162" s="57" t="e">
        <f t="shared" si="49"/>
        <v>#NAME?</v>
      </c>
      <c r="P162" s="57" t="e">
        <f t="shared" si="60"/>
        <v>#NAME?</v>
      </c>
      <c r="Q162" s="57" t="e">
        <f t="shared" si="61"/>
        <v>#NAME?</v>
      </c>
      <c r="R162" s="58" t="e">
        <f t="shared" si="62"/>
        <v>#NAME?</v>
      </c>
      <c r="T162" s="132" t="e">
        <f t="shared" si="46"/>
        <v>#NAME?</v>
      </c>
      <c r="U162" s="58" t="e">
        <f t="shared" si="47"/>
        <v>#NAME?</v>
      </c>
    </row>
    <row r="163" spans="1:21" ht="12.75">
      <c r="A163" s="52">
        <f ca="1" t="shared" si="51"/>
        <v>0.8516948231737941</v>
      </c>
      <c r="B163" s="48">
        <f t="shared" si="52"/>
        <v>1.0437299399747562</v>
      </c>
      <c r="D163" s="2">
        <v>117</v>
      </c>
      <c r="E163" s="35">
        <f t="shared" si="48"/>
        <v>0.32054794520547947</v>
      </c>
      <c r="F163" s="26">
        <f t="shared" si="53"/>
        <v>58.43715275983416</v>
      </c>
      <c r="G163" s="37" t="e">
        <f t="shared" si="54"/>
        <v>#NAME?</v>
      </c>
      <c r="H163" s="57" t="e">
        <f t="shared" si="50"/>
        <v>#NAME?</v>
      </c>
      <c r="I163" s="57" t="e">
        <f t="shared" si="55"/>
        <v>#NAME?</v>
      </c>
      <c r="J163" s="57" t="e">
        <f t="shared" si="56"/>
        <v>#NAME?</v>
      </c>
      <c r="K163" s="58" t="e">
        <f t="shared" si="57"/>
        <v>#NAME?</v>
      </c>
      <c r="M163" s="26">
        <f t="shared" si="58"/>
        <v>43.611768018399125</v>
      </c>
      <c r="N163" s="37" t="e">
        <f t="shared" si="59"/>
        <v>#NAME?</v>
      </c>
      <c r="O163" s="57" t="e">
        <f t="shared" si="49"/>
        <v>#NAME?</v>
      </c>
      <c r="P163" s="57" t="e">
        <f t="shared" si="60"/>
        <v>#NAME?</v>
      </c>
      <c r="Q163" s="57" t="e">
        <f t="shared" si="61"/>
        <v>#NAME?</v>
      </c>
      <c r="R163" s="58" t="e">
        <f t="shared" si="62"/>
        <v>#NAME?</v>
      </c>
      <c r="T163" s="132" t="e">
        <f t="shared" si="46"/>
        <v>#NAME?</v>
      </c>
      <c r="U163" s="58" t="e">
        <f t="shared" si="47"/>
        <v>#NAME?</v>
      </c>
    </row>
    <row r="164" spans="1:21" ht="12.75">
      <c r="A164" s="52">
        <f ca="1" t="shared" si="51"/>
        <v>0.5219402997171649</v>
      </c>
      <c r="B164" s="48">
        <f t="shared" si="52"/>
        <v>0.05502392839407501</v>
      </c>
      <c r="D164" s="2">
        <v>118</v>
      </c>
      <c r="E164" s="35">
        <f t="shared" si="48"/>
        <v>0.3232876712328767</v>
      </c>
      <c r="F164" s="26">
        <f t="shared" si="53"/>
        <v>58.47562925712084</v>
      </c>
      <c r="G164" s="37" t="e">
        <f t="shared" si="54"/>
        <v>#NAME?</v>
      </c>
      <c r="H164" s="57" t="e">
        <f t="shared" si="50"/>
        <v>#NAME?</v>
      </c>
      <c r="I164" s="57" t="e">
        <f t="shared" si="55"/>
        <v>#NAME?</v>
      </c>
      <c r="J164" s="57" t="e">
        <f t="shared" si="56"/>
        <v>#NAME?</v>
      </c>
      <c r="K164" s="58" t="e">
        <f t="shared" si="57"/>
        <v>#NAME?</v>
      </c>
      <c r="M164" s="26">
        <f t="shared" si="58"/>
        <v>43.59023675261697</v>
      </c>
      <c r="N164" s="37" t="e">
        <f t="shared" si="59"/>
        <v>#NAME?</v>
      </c>
      <c r="O164" s="57" t="e">
        <f t="shared" si="49"/>
        <v>#NAME?</v>
      </c>
      <c r="P164" s="57" t="e">
        <f t="shared" si="60"/>
        <v>#NAME?</v>
      </c>
      <c r="Q164" s="57" t="e">
        <f t="shared" si="61"/>
        <v>#NAME?</v>
      </c>
      <c r="R164" s="58" t="e">
        <f t="shared" si="62"/>
        <v>#NAME?</v>
      </c>
      <c r="T164" s="132" t="e">
        <f t="shared" si="46"/>
        <v>#NAME?</v>
      </c>
      <c r="U164" s="58" t="e">
        <f t="shared" si="47"/>
        <v>#NAME?</v>
      </c>
    </row>
    <row r="165" spans="1:21" ht="12.75">
      <c r="A165" s="52">
        <f ca="1" t="shared" si="51"/>
        <v>0.02517244928915517</v>
      </c>
      <c r="B165" s="48">
        <f t="shared" si="52"/>
        <v>-1.9570218577731908</v>
      </c>
      <c r="D165" s="2">
        <v>119</v>
      </c>
      <c r="E165" s="35">
        <f t="shared" si="48"/>
        <v>0.32602739726027397</v>
      </c>
      <c r="F165" s="26">
        <f t="shared" si="53"/>
        <v>57.29453386683277</v>
      </c>
      <c r="G165" s="37" t="e">
        <f t="shared" si="54"/>
        <v>#NAME?</v>
      </c>
      <c r="H165" s="57" t="e">
        <f t="shared" si="50"/>
        <v>#NAME?</v>
      </c>
      <c r="I165" s="57" t="e">
        <f t="shared" si="55"/>
        <v>#NAME?</v>
      </c>
      <c r="J165" s="57" t="e">
        <f t="shared" si="56"/>
        <v>#NAME?</v>
      </c>
      <c r="K165" s="58" t="e">
        <f t="shared" si="57"/>
        <v>#NAME?</v>
      </c>
      <c r="M165" s="26">
        <f t="shared" si="58"/>
        <v>44.49613940726272</v>
      </c>
      <c r="N165" s="37" t="e">
        <f t="shared" si="59"/>
        <v>#NAME?</v>
      </c>
      <c r="O165" s="57" t="e">
        <f t="shared" si="49"/>
        <v>#NAME?</v>
      </c>
      <c r="P165" s="57" t="e">
        <f t="shared" si="60"/>
        <v>#NAME?</v>
      </c>
      <c r="Q165" s="57" t="e">
        <f t="shared" si="61"/>
        <v>#NAME?</v>
      </c>
      <c r="R165" s="58" t="e">
        <f t="shared" si="62"/>
        <v>#NAME?</v>
      </c>
      <c r="T165" s="132" t="e">
        <f t="shared" si="46"/>
        <v>#NAME?</v>
      </c>
      <c r="U165" s="58" t="e">
        <f t="shared" si="47"/>
        <v>#NAME?</v>
      </c>
    </row>
    <row r="166" spans="1:21" ht="12.75">
      <c r="A166" s="52">
        <f ca="1" t="shared" si="51"/>
        <v>0.5425476775133945</v>
      </c>
      <c r="B166" s="48">
        <f t="shared" si="52"/>
        <v>0.1068542040533689</v>
      </c>
      <c r="D166" s="2">
        <v>120</v>
      </c>
      <c r="E166" s="35">
        <f t="shared" si="48"/>
        <v>0.3287671232876712</v>
      </c>
      <c r="F166" s="26">
        <f t="shared" si="53"/>
        <v>57.36337404874264</v>
      </c>
      <c r="G166" s="37" t="e">
        <f t="shared" si="54"/>
        <v>#NAME?</v>
      </c>
      <c r="H166" s="57" t="e">
        <f t="shared" si="50"/>
        <v>#NAME?</v>
      </c>
      <c r="I166" s="57" t="e">
        <f t="shared" si="55"/>
        <v>#NAME?</v>
      </c>
      <c r="J166" s="57" t="e">
        <f t="shared" si="56"/>
        <v>#NAME?</v>
      </c>
      <c r="K166" s="58" t="e">
        <f t="shared" si="57"/>
        <v>#NAME?</v>
      </c>
      <c r="M166" s="26">
        <f t="shared" si="58"/>
        <v>44.45004709053672</v>
      </c>
      <c r="N166" s="37" t="e">
        <f t="shared" si="59"/>
        <v>#NAME?</v>
      </c>
      <c r="O166" s="57" t="e">
        <f t="shared" si="49"/>
        <v>#NAME?</v>
      </c>
      <c r="P166" s="57" t="e">
        <f t="shared" si="60"/>
        <v>#NAME?</v>
      </c>
      <c r="Q166" s="57" t="e">
        <f t="shared" si="61"/>
        <v>#NAME?</v>
      </c>
      <c r="R166" s="58" t="e">
        <f t="shared" si="62"/>
        <v>#NAME?</v>
      </c>
      <c r="T166" s="132" t="e">
        <f t="shared" si="46"/>
        <v>#NAME?</v>
      </c>
      <c r="U166" s="58" t="e">
        <f t="shared" si="47"/>
        <v>#NAME?</v>
      </c>
    </row>
    <row r="167" spans="1:21" ht="12.75">
      <c r="A167" s="52">
        <f ca="1" t="shared" si="51"/>
        <v>0.1655364428993866</v>
      </c>
      <c r="B167" s="48">
        <f t="shared" si="52"/>
        <v>-0.9719551009444005</v>
      </c>
      <c r="D167" s="2">
        <v>121</v>
      </c>
      <c r="E167" s="35">
        <f t="shared" si="48"/>
        <v>0.3315068493150685</v>
      </c>
      <c r="F167" s="26">
        <f t="shared" si="53"/>
        <v>56.787334552954185</v>
      </c>
      <c r="G167" s="37" t="e">
        <f t="shared" si="54"/>
        <v>#NAME?</v>
      </c>
      <c r="H167" s="57" t="e">
        <f t="shared" si="50"/>
        <v>#NAME?</v>
      </c>
      <c r="I167" s="57" t="e">
        <f t="shared" si="55"/>
        <v>#NAME?</v>
      </c>
      <c r="J167" s="57" t="e">
        <f t="shared" si="56"/>
        <v>#NAME?</v>
      </c>
      <c r="K167" s="58" t="e">
        <f t="shared" si="57"/>
        <v>#NAME?</v>
      </c>
      <c r="M167" s="26">
        <f t="shared" si="58"/>
        <v>44.908321164242416</v>
      </c>
      <c r="N167" s="37" t="e">
        <f t="shared" si="59"/>
        <v>#NAME?</v>
      </c>
      <c r="O167" s="57" t="e">
        <f t="shared" si="49"/>
        <v>#NAME?</v>
      </c>
      <c r="P167" s="57" t="e">
        <f t="shared" si="60"/>
        <v>#NAME?</v>
      </c>
      <c r="Q167" s="57" t="e">
        <f t="shared" si="61"/>
        <v>#NAME?</v>
      </c>
      <c r="R167" s="58" t="e">
        <f t="shared" si="62"/>
        <v>#NAME?</v>
      </c>
      <c r="T167" s="132" t="e">
        <f t="shared" si="46"/>
        <v>#NAME?</v>
      </c>
      <c r="U167" s="58" t="e">
        <f t="shared" si="47"/>
        <v>#NAME?</v>
      </c>
    </row>
    <row r="168" spans="1:21" ht="12.75">
      <c r="A168" s="52">
        <f ca="1" t="shared" si="51"/>
        <v>0.3800912670381592</v>
      </c>
      <c r="B168" s="48">
        <f t="shared" si="52"/>
        <v>-0.3052410970301792</v>
      </c>
      <c r="D168" s="2">
        <v>122</v>
      </c>
      <c r="E168" s="35">
        <f t="shared" si="48"/>
        <v>0.33424657534246577</v>
      </c>
      <c r="F168" s="26">
        <f t="shared" si="53"/>
        <v>56.61081810676438</v>
      </c>
      <c r="G168" s="37" t="e">
        <f t="shared" si="54"/>
        <v>#NAME?</v>
      </c>
      <c r="H168" s="57" t="e">
        <f t="shared" si="50"/>
        <v>#NAME?</v>
      </c>
      <c r="I168" s="57" t="e">
        <f t="shared" si="55"/>
        <v>#NAME?</v>
      </c>
      <c r="J168" s="57" t="e">
        <f t="shared" si="56"/>
        <v>#NAME?</v>
      </c>
      <c r="K168" s="58" t="e">
        <f t="shared" si="57"/>
        <v>#NAME?</v>
      </c>
      <c r="M168" s="26">
        <f t="shared" si="58"/>
        <v>45.05575423223345</v>
      </c>
      <c r="N168" s="37" t="e">
        <f t="shared" si="59"/>
        <v>#NAME?</v>
      </c>
      <c r="O168" s="57" t="e">
        <f t="shared" si="49"/>
        <v>#NAME?</v>
      </c>
      <c r="P168" s="57" t="e">
        <f t="shared" si="60"/>
        <v>#NAME?</v>
      </c>
      <c r="Q168" s="57" t="e">
        <f t="shared" si="61"/>
        <v>#NAME?</v>
      </c>
      <c r="R168" s="58" t="e">
        <f t="shared" si="62"/>
        <v>#NAME?</v>
      </c>
      <c r="T168" s="132" t="e">
        <f t="shared" si="46"/>
        <v>#NAME?</v>
      </c>
      <c r="U168" s="58" t="e">
        <f t="shared" si="47"/>
        <v>#NAME?</v>
      </c>
    </row>
    <row r="169" spans="1:21" ht="12.75">
      <c r="A169" s="52">
        <f ca="1" t="shared" si="51"/>
        <v>0.6360260383497837</v>
      </c>
      <c r="B169" s="48">
        <f t="shared" si="52"/>
        <v>0.3478565426882584</v>
      </c>
      <c r="D169" s="2">
        <v>123</v>
      </c>
      <c r="E169" s="35">
        <f t="shared" si="48"/>
        <v>0.336986301369863</v>
      </c>
      <c r="F169" s="26">
        <f t="shared" si="53"/>
        <v>56.82201394389495</v>
      </c>
      <c r="G169" s="37" t="e">
        <f t="shared" si="54"/>
        <v>#NAME?</v>
      </c>
      <c r="H169" s="57" t="e">
        <f t="shared" si="50"/>
        <v>#NAME?</v>
      </c>
      <c r="I169" s="57" t="e">
        <f t="shared" si="55"/>
        <v>#NAME?</v>
      </c>
      <c r="J169" s="57" t="e">
        <f t="shared" si="56"/>
        <v>#NAME?</v>
      </c>
      <c r="K169" s="58" t="e">
        <f t="shared" si="57"/>
        <v>#NAME?</v>
      </c>
      <c r="M169" s="26">
        <f t="shared" si="58"/>
        <v>44.89567068645235</v>
      </c>
      <c r="N169" s="37" t="e">
        <f t="shared" si="59"/>
        <v>#NAME?</v>
      </c>
      <c r="O169" s="57" t="e">
        <f t="shared" si="49"/>
        <v>#NAME?</v>
      </c>
      <c r="P169" s="57" t="e">
        <f t="shared" si="60"/>
        <v>#NAME?</v>
      </c>
      <c r="Q169" s="57" t="e">
        <f t="shared" si="61"/>
        <v>#NAME?</v>
      </c>
      <c r="R169" s="58" t="e">
        <f t="shared" si="62"/>
        <v>#NAME?</v>
      </c>
      <c r="T169" s="132" t="e">
        <f t="shared" si="46"/>
        <v>#NAME?</v>
      </c>
      <c r="U169" s="58" t="e">
        <f t="shared" si="47"/>
        <v>#NAME?</v>
      </c>
    </row>
    <row r="170" spans="1:21" ht="12.75">
      <c r="A170" s="52">
        <f ca="1" t="shared" si="51"/>
        <v>0.8587255411274463</v>
      </c>
      <c r="B170" s="48">
        <f t="shared" si="52"/>
        <v>1.0746110160473568</v>
      </c>
      <c r="D170" s="2">
        <v>124</v>
      </c>
      <c r="E170" s="35">
        <f t="shared" si="48"/>
        <v>0.33972602739726027</v>
      </c>
      <c r="F170" s="26">
        <f t="shared" si="53"/>
        <v>57.4695679193474</v>
      </c>
      <c r="G170" s="37" t="e">
        <f t="shared" si="54"/>
        <v>#NAME?</v>
      </c>
      <c r="H170" s="57" t="e">
        <f t="shared" si="50"/>
        <v>#NAME?</v>
      </c>
      <c r="I170" s="57" t="e">
        <f t="shared" si="55"/>
        <v>#NAME?</v>
      </c>
      <c r="J170" s="57" t="e">
        <f t="shared" si="56"/>
        <v>#NAME?</v>
      </c>
      <c r="K170" s="58" t="e">
        <f t="shared" si="57"/>
        <v>#NAME?</v>
      </c>
      <c r="M170" s="26">
        <f t="shared" si="58"/>
        <v>44.39709406800503</v>
      </c>
      <c r="N170" s="37" t="e">
        <f t="shared" si="59"/>
        <v>#NAME?</v>
      </c>
      <c r="O170" s="57" t="e">
        <f t="shared" si="49"/>
        <v>#NAME?</v>
      </c>
      <c r="P170" s="57" t="e">
        <f t="shared" si="60"/>
        <v>#NAME?</v>
      </c>
      <c r="Q170" s="57" t="e">
        <f t="shared" si="61"/>
        <v>#NAME?</v>
      </c>
      <c r="R170" s="58" t="e">
        <f t="shared" si="62"/>
        <v>#NAME?</v>
      </c>
      <c r="T170" s="132" t="e">
        <f t="shared" si="46"/>
        <v>#NAME?</v>
      </c>
      <c r="U170" s="58" t="e">
        <f t="shared" si="47"/>
        <v>#NAME?</v>
      </c>
    </row>
    <row r="171" spans="1:21" ht="12.75">
      <c r="A171" s="52">
        <f ca="1" t="shared" si="51"/>
        <v>0.6807005915221528</v>
      </c>
      <c r="B171" s="48">
        <f t="shared" si="52"/>
        <v>0.46965878700423236</v>
      </c>
      <c r="D171" s="2">
        <v>125</v>
      </c>
      <c r="E171" s="35">
        <f t="shared" si="48"/>
        <v>0.3424657534246575</v>
      </c>
      <c r="F171" s="26">
        <f t="shared" si="53"/>
        <v>57.75756628806239</v>
      </c>
      <c r="G171" s="37" t="e">
        <f t="shared" si="54"/>
        <v>#NAME?</v>
      </c>
      <c r="H171" s="57" t="e">
        <f t="shared" si="50"/>
        <v>#NAME?</v>
      </c>
      <c r="I171" s="57" t="e">
        <f t="shared" si="55"/>
        <v>#NAME?</v>
      </c>
      <c r="J171" s="57" t="e">
        <f t="shared" si="56"/>
        <v>#NAME?</v>
      </c>
      <c r="K171" s="58" t="e">
        <f t="shared" si="57"/>
        <v>#NAME?</v>
      </c>
      <c r="M171" s="26">
        <f t="shared" si="58"/>
        <v>44.18297780031457</v>
      </c>
      <c r="N171" s="37" t="e">
        <f t="shared" si="59"/>
        <v>#NAME?</v>
      </c>
      <c r="O171" s="57" t="e">
        <f t="shared" si="49"/>
        <v>#NAME?</v>
      </c>
      <c r="P171" s="57" t="e">
        <f t="shared" si="60"/>
        <v>#NAME?</v>
      </c>
      <c r="Q171" s="57" t="e">
        <f t="shared" si="61"/>
        <v>#NAME?</v>
      </c>
      <c r="R171" s="58" t="e">
        <f t="shared" si="62"/>
        <v>#NAME?</v>
      </c>
      <c r="T171" s="132" t="e">
        <f t="shared" si="46"/>
        <v>#NAME?</v>
      </c>
      <c r="U171" s="58" t="e">
        <f t="shared" si="47"/>
        <v>#NAME?</v>
      </c>
    </row>
    <row r="172" spans="1:21" ht="12.75">
      <c r="A172" s="52">
        <f ca="1" t="shared" si="51"/>
        <v>0.40708325685772856</v>
      </c>
      <c r="B172" s="48">
        <f t="shared" si="52"/>
        <v>-0.23505439610593815</v>
      </c>
      <c r="D172" s="2">
        <v>126</v>
      </c>
      <c r="E172" s="35">
        <f t="shared" si="48"/>
        <v>0.3452054794520548</v>
      </c>
      <c r="F172" s="26">
        <f t="shared" si="53"/>
        <v>57.62035488490315</v>
      </c>
      <c r="G172" s="37" t="e">
        <f t="shared" si="54"/>
        <v>#NAME?</v>
      </c>
      <c r="H172" s="57" t="e">
        <f t="shared" si="50"/>
        <v>#NAME?</v>
      </c>
      <c r="I172" s="57" t="e">
        <f t="shared" si="55"/>
        <v>#NAME?</v>
      </c>
      <c r="J172" s="57" t="e">
        <f t="shared" si="56"/>
        <v>#NAME?</v>
      </c>
      <c r="K172" s="58" t="e">
        <f t="shared" si="57"/>
        <v>#NAME?</v>
      </c>
      <c r="M172" s="26">
        <f t="shared" si="58"/>
        <v>44.29547161422516</v>
      </c>
      <c r="N172" s="37" t="e">
        <f t="shared" si="59"/>
        <v>#NAME?</v>
      </c>
      <c r="O172" s="57" t="e">
        <f t="shared" si="49"/>
        <v>#NAME?</v>
      </c>
      <c r="P172" s="57" t="e">
        <f t="shared" si="60"/>
        <v>#NAME?</v>
      </c>
      <c r="Q172" s="57" t="e">
        <f t="shared" si="61"/>
        <v>#NAME?</v>
      </c>
      <c r="R172" s="58" t="e">
        <f t="shared" si="62"/>
        <v>#NAME?</v>
      </c>
      <c r="T172" s="132" t="e">
        <f t="shared" si="46"/>
        <v>#NAME?</v>
      </c>
      <c r="U172" s="58" t="e">
        <f t="shared" si="47"/>
        <v>#NAME?</v>
      </c>
    </row>
    <row r="173" spans="1:21" ht="12.75">
      <c r="A173" s="52">
        <f ca="1" t="shared" si="51"/>
        <v>0.47280841314575867</v>
      </c>
      <c r="B173" s="48">
        <f t="shared" si="52"/>
        <v>-0.06821206069092378</v>
      </c>
      <c r="D173" s="2">
        <v>127</v>
      </c>
      <c r="E173" s="35">
        <f t="shared" si="48"/>
        <v>0.34794520547945207</v>
      </c>
      <c r="F173" s="26">
        <f t="shared" si="53"/>
        <v>57.58395696471388</v>
      </c>
      <c r="G173" s="37" t="e">
        <f t="shared" si="54"/>
        <v>#NAME?</v>
      </c>
      <c r="H173" s="57" t="e">
        <f t="shared" si="50"/>
        <v>#NAME?</v>
      </c>
      <c r="I173" s="57" t="e">
        <f t="shared" si="55"/>
        <v>#NAME?</v>
      </c>
      <c r="J173" s="57" t="e">
        <f t="shared" si="56"/>
        <v>#NAME?</v>
      </c>
      <c r="K173" s="58" t="e">
        <f t="shared" si="57"/>
        <v>#NAME?</v>
      </c>
      <c r="M173" s="26">
        <f t="shared" si="58"/>
        <v>44.33075673905001</v>
      </c>
      <c r="N173" s="37" t="e">
        <f t="shared" si="59"/>
        <v>#NAME?</v>
      </c>
      <c r="O173" s="57" t="e">
        <f t="shared" si="49"/>
        <v>#NAME?</v>
      </c>
      <c r="P173" s="57" t="e">
        <f t="shared" si="60"/>
        <v>#NAME?</v>
      </c>
      <c r="Q173" s="57" t="e">
        <f t="shared" si="61"/>
        <v>#NAME?</v>
      </c>
      <c r="R173" s="58" t="e">
        <f t="shared" si="62"/>
        <v>#NAME?</v>
      </c>
      <c r="T173" s="132" t="e">
        <f t="shared" si="46"/>
        <v>#NAME?</v>
      </c>
      <c r="U173" s="58" t="e">
        <f t="shared" si="47"/>
        <v>#NAME?</v>
      </c>
    </row>
    <row r="174" spans="1:21" ht="12.75">
      <c r="A174" s="52">
        <f ca="1" t="shared" si="51"/>
        <v>0.840491052259902</v>
      </c>
      <c r="B174" s="48">
        <f t="shared" si="52"/>
        <v>0.9964781146555688</v>
      </c>
      <c r="D174" s="2">
        <v>128</v>
      </c>
      <c r="E174" s="35">
        <f t="shared" si="48"/>
        <v>0.3506849315068493</v>
      </c>
      <c r="F174" s="26">
        <f t="shared" si="53"/>
        <v>58.19257710430623</v>
      </c>
      <c r="G174" s="37" t="e">
        <f t="shared" si="54"/>
        <v>#NAME?</v>
      </c>
      <c r="H174" s="57" t="e">
        <f t="shared" si="50"/>
        <v>#NAME?</v>
      </c>
      <c r="I174" s="57" t="e">
        <f t="shared" si="55"/>
        <v>#NAME?</v>
      </c>
      <c r="J174" s="57" t="e">
        <f t="shared" si="56"/>
        <v>#NAME?</v>
      </c>
      <c r="K174" s="58" t="e">
        <f t="shared" si="57"/>
        <v>#NAME?</v>
      </c>
      <c r="M174" s="26">
        <f t="shared" si="58"/>
        <v>43.8743251866501</v>
      </c>
      <c r="N174" s="37" t="e">
        <f t="shared" si="59"/>
        <v>#NAME?</v>
      </c>
      <c r="O174" s="57" t="e">
        <f t="shared" si="49"/>
        <v>#NAME?</v>
      </c>
      <c r="P174" s="57" t="e">
        <f t="shared" si="60"/>
        <v>#NAME?</v>
      </c>
      <c r="Q174" s="57" t="e">
        <f t="shared" si="61"/>
        <v>#NAME?</v>
      </c>
      <c r="R174" s="58" t="e">
        <f t="shared" si="62"/>
        <v>#NAME?</v>
      </c>
      <c r="T174" s="132" t="e">
        <f aca="true" t="shared" si="63" ref="T174:T186">ABS(H174)</f>
        <v>#NAME?</v>
      </c>
      <c r="U174" s="58" t="e">
        <f aca="true" t="shared" si="64" ref="U174:U186">ABS(O174)</f>
        <v>#NAME?</v>
      </c>
    </row>
    <row r="175" spans="1:21" ht="12.75">
      <c r="A175" s="52">
        <f ca="1" t="shared" si="51"/>
        <v>0.3535934832463388</v>
      </c>
      <c r="B175" s="48">
        <f t="shared" si="52"/>
        <v>-0.3756367490123472</v>
      </c>
      <c r="D175" s="2">
        <v>129</v>
      </c>
      <c r="E175" s="35">
        <f aca="true" t="shared" si="65" ref="E175:E185">D175/365</f>
        <v>0.35342465753424657</v>
      </c>
      <c r="F175" s="26">
        <f t="shared" si="53"/>
        <v>57.96895751495925</v>
      </c>
      <c r="G175" s="37" t="e">
        <f t="shared" si="54"/>
        <v>#NAME?</v>
      </c>
      <c r="H175" s="57" t="e">
        <f t="shared" si="50"/>
        <v>#NAME?</v>
      </c>
      <c r="I175" s="57" t="e">
        <f t="shared" si="55"/>
        <v>#NAME?</v>
      </c>
      <c r="J175" s="57" t="e">
        <f t="shared" si="56"/>
        <v>#NAME?</v>
      </c>
      <c r="K175" s="58" t="e">
        <f t="shared" si="57"/>
        <v>#NAME?</v>
      </c>
      <c r="M175" s="26">
        <f t="shared" si="58"/>
        <v>44.050814312209</v>
      </c>
      <c r="N175" s="37" t="e">
        <f t="shared" si="59"/>
        <v>#NAME?</v>
      </c>
      <c r="O175" s="57" t="e">
        <f aca="true" t="shared" si="66" ref="O175:O186">(N175-N174)*$C$12</f>
        <v>#NAME?</v>
      </c>
      <c r="P175" s="57" t="e">
        <f t="shared" si="60"/>
        <v>#NAME?</v>
      </c>
      <c r="Q175" s="57" t="e">
        <f t="shared" si="61"/>
        <v>#NAME?</v>
      </c>
      <c r="R175" s="58" t="e">
        <f t="shared" si="62"/>
        <v>#NAME?</v>
      </c>
      <c r="T175" s="132" t="e">
        <f t="shared" si="63"/>
        <v>#NAME?</v>
      </c>
      <c r="U175" s="58" t="e">
        <f t="shared" si="64"/>
        <v>#NAME?</v>
      </c>
    </row>
    <row r="176" spans="1:21" ht="12.75">
      <c r="A176" s="52">
        <f ca="1" t="shared" si="51"/>
        <v>0.9610730820360589</v>
      </c>
      <c r="B176" s="48">
        <f t="shared" si="52"/>
        <v>1.7632766830898432</v>
      </c>
      <c r="D176" s="2">
        <v>130</v>
      </c>
      <c r="E176" s="35">
        <f t="shared" si="65"/>
        <v>0.3561643835616438</v>
      </c>
      <c r="F176" s="26">
        <f t="shared" si="53"/>
        <v>59.05378670899214</v>
      </c>
      <c r="G176" s="37" t="e">
        <f t="shared" si="54"/>
        <v>#NAME?</v>
      </c>
      <c r="H176" s="57" t="e">
        <f aca="true" t="shared" si="67" ref="H176:H186">(G176-G175)*$C$12</f>
        <v>#NAME?</v>
      </c>
      <c r="I176" s="57" t="e">
        <f t="shared" si="55"/>
        <v>#NAME?</v>
      </c>
      <c r="J176" s="57" t="e">
        <f t="shared" si="56"/>
        <v>#NAME?</v>
      </c>
      <c r="K176" s="58" t="e">
        <f t="shared" si="57"/>
        <v>#NAME?</v>
      </c>
      <c r="M176" s="26">
        <f t="shared" si="58"/>
        <v>43.248701340567635</v>
      </c>
      <c r="N176" s="37" t="e">
        <f t="shared" si="59"/>
        <v>#NAME?</v>
      </c>
      <c r="O176" s="57" t="e">
        <f t="shared" si="66"/>
        <v>#NAME?</v>
      </c>
      <c r="P176" s="57" t="e">
        <f t="shared" si="60"/>
        <v>#NAME?</v>
      </c>
      <c r="Q176" s="57" t="e">
        <f t="shared" si="61"/>
        <v>#NAME?</v>
      </c>
      <c r="R176" s="58" t="e">
        <f t="shared" si="62"/>
        <v>#NAME?</v>
      </c>
      <c r="T176" s="132" t="e">
        <f t="shared" si="63"/>
        <v>#NAME?</v>
      </c>
      <c r="U176" s="58" t="e">
        <f t="shared" si="64"/>
        <v>#NAME?</v>
      </c>
    </row>
    <row r="177" spans="1:21" ht="12.75">
      <c r="A177" s="52">
        <f ca="1" t="shared" si="51"/>
        <v>0.4443332253512762</v>
      </c>
      <c r="B177" s="48">
        <f t="shared" si="52"/>
        <v>-0.13999182346260025</v>
      </c>
      <c r="D177" s="2">
        <v>131</v>
      </c>
      <c r="E177" s="35">
        <f t="shared" si="65"/>
        <v>0.3589041095890411</v>
      </c>
      <c r="F177" s="26">
        <f t="shared" si="53"/>
        <v>58.972153513545045</v>
      </c>
      <c r="G177" s="37" t="e">
        <f t="shared" si="54"/>
        <v>#NAME?</v>
      </c>
      <c r="H177" s="57" t="e">
        <f t="shared" si="67"/>
        <v>#NAME?</v>
      </c>
      <c r="I177" s="57" t="e">
        <f t="shared" si="55"/>
        <v>#NAME?</v>
      </c>
      <c r="J177" s="57" t="e">
        <f t="shared" si="56"/>
        <v>#NAME?</v>
      </c>
      <c r="K177" s="58" t="e">
        <f t="shared" si="57"/>
        <v>#NAME?</v>
      </c>
      <c r="M177" s="26">
        <f t="shared" si="58"/>
        <v>43.31568888487538</v>
      </c>
      <c r="N177" s="37" t="e">
        <f t="shared" si="59"/>
        <v>#NAME?</v>
      </c>
      <c r="O177" s="57" t="e">
        <f t="shared" si="66"/>
        <v>#NAME?</v>
      </c>
      <c r="P177" s="57" t="e">
        <f t="shared" si="60"/>
        <v>#NAME?</v>
      </c>
      <c r="Q177" s="57" t="e">
        <f t="shared" si="61"/>
        <v>#NAME?</v>
      </c>
      <c r="R177" s="58" t="e">
        <f t="shared" si="62"/>
        <v>#NAME?</v>
      </c>
      <c r="T177" s="132" t="e">
        <f t="shared" si="63"/>
        <v>#NAME?</v>
      </c>
      <c r="U177" s="58" t="e">
        <f t="shared" si="64"/>
        <v>#NAME?</v>
      </c>
    </row>
    <row r="178" spans="1:21" ht="12.75">
      <c r="A178" s="52">
        <f ca="1" t="shared" si="51"/>
        <v>0.6152136995353756</v>
      </c>
      <c r="B178" s="48">
        <f t="shared" si="52"/>
        <v>0.2929339987416586</v>
      </c>
      <c r="D178" s="2">
        <v>132</v>
      </c>
      <c r="E178" s="35">
        <f t="shared" si="65"/>
        <v>0.36164383561643837</v>
      </c>
      <c r="F178" s="26">
        <f t="shared" si="53"/>
        <v>59.15813562185116</v>
      </c>
      <c r="G178" s="37" t="e">
        <f t="shared" si="54"/>
        <v>#NAME?</v>
      </c>
      <c r="H178" s="57" t="e">
        <f t="shared" si="67"/>
        <v>#NAME?</v>
      </c>
      <c r="I178" s="57" t="e">
        <f t="shared" si="55"/>
        <v>#NAME?</v>
      </c>
      <c r="J178" s="57" t="e">
        <f t="shared" si="56"/>
        <v>#NAME?</v>
      </c>
      <c r="K178" s="58" t="e">
        <f t="shared" si="57"/>
        <v>#NAME?</v>
      </c>
      <c r="M178" s="26">
        <f t="shared" si="58"/>
        <v>43.18661105003793</v>
      </c>
      <c r="N178" s="37" t="e">
        <f t="shared" si="59"/>
        <v>#NAME?</v>
      </c>
      <c r="O178" s="57" t="e">
        <f t="shared" si="66"/>
        <v>#NAME?</v>
      </c>
      <c r="P178" s="57" t="e">
        <f t="shared" si="60"/>
        <v>#NAME?</v>
      </c>
      <c r="Q178" s="57" t="e">
        <f t="shared" si="61"/>
        <v>#NAME?</v>
      </c>
      <c r="R178" s="58" t="e">
        <f t="shared" si="62"/>
        <v>#NAME?</v>
      </c>
      <c r="T178" s="132" t="e">
        <f t="shared" si="63"/>
        <v>#NAME?</v>
      </c>
      <c r="U178" s="58" t="e">
        <f t="shared" si="64"/>
        <v>#NAME?</v>
      </c>
    </row>
    <row r="179" spans="1:21" ht="12.75">
      <c r="A179" s="52">
        <f ca="1" t="shared" si="51"/>
        <v>0.00047298615048497946</v>
      </c>
      <c r="B179" s="48">
        <f t="shared" si="52"/>
        <v>-3.306120992901427</v>
      </c>
      <c r="D179" s="2">
        <v>133</v>
      </c>
      <c r="E179" s="35">
        <f t="shared" si="65"/>
        <v>0.3643835616438356</v>
      </c>
      <c r="F179" s="26">
        <f t="shared" si="53"/>
        <v>57.150392527280815</v>
      </c>
      <c r="G179" s="37" t="e">
        <f t="shared" si="54"/>
        <v>#NAME?</v>
      </c>
      <c r="H179" s="57" t="e">
        <f t="shared" si="67"/>
        <v>#NAME?</v>
      </c>
      <c r="I179" s="57" t="e">
        <f t="shared" si="55"/>
        <v>#NAME?</v>
      </c>
      <c r="J179" s="57" t="e">
        <f t="shared" si="56"/>
        <v>#NAME?</v>
      </c>
      <c r="K179" s="58" t="e">
        <f t="shared" si="57"/>
        <v>#NAME?</v>
      </c>
      <c r="M179" s="26">
        <f t="shared" si="58"/>
        <v>44.71114350519521</v>
      </c>
      <c r="N179" s="37" t="e">
        <f t="shared" si="59"/>
        <v>#NAME?</v>
      </c>
      <c r="O179" s="57" t="e">
        <f t="shared" si="66"/>
        <v>#NAME?</v>
      </c>
      <c r="P179" s="57" t="e">
        <f t="shared" si="60"/>
        <v>#NAME?</v>
      </c>
      <c r="Q179" s="57" t="e">
        <f t="shared" si="61"/>
        <v>#NAME?</v>
      </c>
      <c r="R179" s="58" t="e">
        <f t="shared" si="62"/>
        <v>#NAME?</v>
      </c>
      <c r="T179" s="132" t="e">
        <f t="shared" si="63"/>
        <v>#NAME?</v>
      </c>
      <c r="U179" s="58" t="e">
        <f t="shared" si="64"/>
        <v>#NAME?</v>
      </c>
    </row>
    <row r="180" spans="1:21" ht="12.75">
      <c r="A180" s="52">
        <f ca="1" t="shared" si="51"/>
        <v>0.634816309023597</v>
      </c>
      <c r="B180" s="48">
        <f t="shared" si="52"/>
        <v>0.3446368724564789</v>
      </c>
      <c r="D180" s="2">
        <v>134</v>
      </c>
      <c r="E180" s="35">
        <f t="shared" si="65"/>
        <v>0.36712328767123287</v>
      </c>
      <c r="F180" s="26">
        <f t="shared" si="53"/>
        <v>57.36166792390734</v>
      </c>
      <c r="G180" s="37" t="e">
        <f t="shared" si="54"/>
        <v>#NAME?</v>
      </c>
      <c r="H180" s="57" t="e">
        <f t="shared" si="67"/>
        <v>#NAME?</v>
      </c>
      <c r="I180" s="57" t="e">
        <f t="shared" si="55"/>
        <v>#NAME?</v>
      </c>
      <c r="J180" s="57" t="e">
        <f t="shared" si="56"/>
        <v>#NAME?</v>
      </c>
      <c r="K180" s="58" t="e">
        <f t="shared" si="57"/>
        <v>#NAME?</v>
      </c>
      <c r="M180" s="26">
        <f t="shared" si="58"/>
        <v>44.55378602698616</v>
      </c>
      <c r="N180" s="37" t="e">
        <f t="shared" si="59"/>
        <v>#NAME?</v>
      </c>
      <c r="O180" s="57" t="e">
        <f t="shared" si="66"/>
        <v>#NAME?</v>
      </c>
      <c r="P180" s="57" t="e">
        <f t="shared" si="60"/>
        <v>#NAME?</v>
      </c>
      <c r="Q180" s="57" t="e">
        <f t="shared" si="61"/>
        <v>#NAME?</v>
      </c>
      <c r="R180" s="58" t="e">
        <f t="shared" si="62"/>
        <v>#NAME?</v>
      </c>
      <c r="T180" s="132" t="e">
        <f t="shared" si="63"/>
        <v>#NAME?</v>
      </c>
      <c r="U180" s="58" t="e">
        <f t="shared" si="64"/>
        <v>#NAME?</v>
      </c>
    </row>
    <row r="181" spans="1:21" ht="12.75">
      <c r="A181" s="52">
        <f ca="1" t="shared" si="51"/>
        <v>0.028721340318028973</v>
      </c>
      <c r="B181" s="48">
        <f t="shared" si="52"/>
        <v>-1.8999271490995784</v>
      </c>
      <c r="D181" s="2">
        <v>135</v>
      </c>
      <c r="E181" s="35">
        <f t="shared" si="65"/>
        <v>0.3698630136986301</v>
      </c>
      <c r="F181" s="26">
        <f t="shared" si="53"/>
        <v>56.23667473385261</v>
      </c>
      <c r="G181" s="37" t="e">
        <f t="shared" si="54"/>
        <v>#NAME?</v>
      </c>
      <c r="H181" s="57" t="e">
        <f t="shared" si="67"/>
        <v>#NAME?</v>
      </c>
      <c r="I181" s="57" t="e">
        <f t="shared" si="55"/>
        <v>#NAME?</v>
      </c>
      <c r="J181" s="57" t="e">
        <f t="shared" si="56"/>
        <v>#NAME?</v>
      </c>
      <c r="K181" s="58" t="e">
        <f t="shared" si="57"/>
        <v>#NAME?</v>
      </c>
      <c r="M181" s="26">
        <f t="shared" si="58"/>
        <v>45.45253852857852</v>
      </c>
      <c r="N181" s="37" t="e">
        <f t="shared" si="59"/>
        <v>#NAME?</v>
      </c>
      <c r="O181" s="57" t="e">
        <f t="shared" si="66"/>
        <v>#NAME?</v>
      </c>
      <c r="P181" s="57" t="e">
        <f t="shared" si="60"/>
        <v>#NAME?</v>
      </c>
      <c r="Q181" s="57" t="e">
        <f t="shared" si="61"/>
        <v>#NAME?</v>
      </c>
      <c r="R181" s="58" t="e">
        <f t="shared" si="62"/>
        <v>#NAME?</v>
      </c>
      <c r="T181" s="132" t="e">
        <f t="shared" si="63"/>
        <v>#NAME?</v>
      </c>
      <c r="U181" s="58" t="e">
        <f t="shared" si="64"/>
        <v>#NAME?</v>
      </c>
    </row>
    <row r="182" spans="1:21" ht="12.75">
      <c r="A182" s="52">
        <f ca="1" t="shared" si="51"/>
        <v>0.24894588770166323</v>
      </c>
      <c r="B182" s="48">
        <f t="shared" si="52"/>
        <v>-0.6778106218971758</v>
      </c>
      <c r="D182" s="2">
        <v>136</v>
      </c>
      <c r="E182" s="35">
        <f t="shared" si="65"/>
        <v>0.3726027397260274</v>
      </c>
      <c r="F182" s="26">
        <f t="shared" si="53"/>
        <v>55.843641268515576</v>
      </c>
      <c r="G182" s="37" t="e">
        <f t="shared" si="54"/>
        <v>#NAME?</v>
      </c>
      <c r="H182" s="57" t="e">
        <f t="shared" si="67"/>
        <v>#NAME?</v>
      </c>
      <c r="I182" s="57" t="e">
        <f t="shared" si="55"/>
        <v>#NAME?</v>
      </c>
      <c r="J182" s="57" t="e">
        <f t="shared" si="56"/>
        <v>#NAME?</v>
      </c>
      <c r="K182" s="58" t="e">
        <f t="shared" si="57"/>
        <v>#NAME?</v>
      </c>
      <c r="M182" s="26">
        <f t="shared" si="58"/>
        <v>45.77996316652279</v>
      </c>
      <c r="N182" s="37" t="e">
        <f t="shared" si="59"/>
        <v>#NAME?</v>
      </c>
      <c r="O182" s="57" t="e">
        <f t="shared" si="66"/>
        <v>#NAME?</v>
      </c>
      <c r="P182" s="57" t="e">
        <f t="shared" si="60"/>
        <v>#NAME?</v>
      </c>
      <c r="Q182" s="57" t="e">
        <f t="shared" si="61"/>
        <v>#NAME?</v>
      </c>
      <c r="R182" s="58" t="e">
        <f t="shared" si="62"/>
        <v>#NAME?</v>
      </c>
      <c r="T182" s="132" t="e">
        <f t="shared" si="63"/>
        <v>#NAME?</v>
      </c>
      <c r="U182" s="58" t="e">
        <f t="shared" si="64"/>
        <v>#NAME?</v>
      </c>
    </row>
    <row r="183" spans="1:21" ht="12.75">
      <c r="A183" s="52">
        <f ca="1" t="shared" si="51"/>
        <v>0.03348168281534783</v>
      </c>
      <c r="B183" s="48">
        <f t="shared" si="52"/>
        <v>-1.8319198303998125</v>
      </c>
      <c r="D183" s="2">
        <v>137</v>
      </c>
      <c r="E183" s="35">
        <f t="shared" si="65"/>
        <v>0.37534246575342467</v>
      </c>
      <c r="F183" s="26">
        <f t="shared" si="53"/>
        <v>54.787411137892626</v>
      </c>
      <c r="G183" s="37" t="e">
        <f t="shared" si="54"/>
        <v>#NAME?</v>
      </c>
      <c r="H183" s="57" t="e">
        <f t="shared" si="67"/>
        <v>#NAME?</v>
      </c>
      <c r="I183" s="57" t="e">
        <f t="shared" si="55"/>
        <v>#NAME?</v>
      </c>
      <c r="J183" s="57" t="e">
        <f t="shared" si="56"/>
        <v>#NAME?</v>
      </c>
      <c r="K183" s="58" t="e">
        <f t="shared" si="57"/>
        <v>#NAME?</v>
      </c>
      <c r="M183" s="26">
        <f t="shared" si="58"/>
        <v>46.6702125840811</v>
      </c>
      <c r="N183" s="37" t="e">
        <f t="shared" si="59"/>
        <v>#NAME?</v>
      </c>
      <c r="O183" s="57" t="e">
        <f t="shared" si="66"/>
        <v>#NAME?</v>
      </c>
      <c r="P183" s="57" t="e">
        <f t="shared" si="60"/>
        <v>#NAME?</v>
      </c>
      <c r="Q183" s="57" t="e">
        <f t="shared" si="61"/>
        <v>#NAME?</v>
      </c>
      <c r="R183" s="58" t="e">
        <f t="shared" si="62"/>
        <v>#NAME?</v>
      </c>
      <c r="T183" s="132" t="e">
        <f t="shared" si="63"/>
        <v>#NAME?</v>
      </c>
      <c r="U183" s="58" t="e">
        <f t="shared" si="64"/>
        <v>#NAME?</v>
      </c>
    </row>
    <row r="184" spans="1:21" ht="12.75">
      <c r="A184" s="52">
        <f ca="1" t="shared" si="51"/>
        <v>0.5485635988209122</v>
      </c>
      <c r="B184" s="48">
        <f t="shared" si="52"/>
        <v>0.12203310227321376</v>
      </c>
      <c r="D184" s="2">
        <v>138</v>
      </c>
      <c r="E184" s="35">
        <f t="shared" si="65"/>
        <v>0.3780821917808219</v>
      </c>
      <c r="F184" s="26">
        <f t="shared" si="53"/>
        <v>54.861955847366495</v>
      </c>
      <c r="G184" s="37" t="e">
        <f t="shared" si="54"/>
        <v>#NAME?</v>
      </c>
      <c r="H184" s="57" t="e">
        <f t="shared" si="67"/>
        <v>#NAME?</v>
      </c>
      <c r="I184" s="57" t="e">
        <f t="shared" si="55"/>
        <v>#NAME?</v>
      </c>
      <c r="J184" s="57" t="e">
        <f t="shared" si="56"/>
        <v>#NAME?</v>
      </c>
      <c r="K184" s="58" t="e">
        <f t="shared" si="57"/>
        <v>#NAME?</v>
      </c>
      <c r="M184" s="26">
        <f t="shared" si="58"/>
        <v>46.61446058039014</v>
      </c>
      <c r="N184" s="37" t="e">
        <f t="shared" si="59"/>
        <v>#NAME?</v>
      </c>
      <c r="O184" s="57" t="e">
        <f t="shared" si="66"/>
        <v>#NAME?</v>
      </c>
      <c r="P184" s="57" t="e">
        <f t="shared" si="60"/>
        <v>#NAME?</v>
      </c>
      <c r="Q184" s="57" t="e">
        <f t="shared" si="61"/>
        <v>#NAME?</v>
      </c>
      <c r="R184" s="58" t="e">
        <f t="shared" si="62"/>
        <v>#NAME?</v>
      </c>
      <c r="T184" s="132" t="e">
        <f t="shared" si="63"/>
        <v>#NAME?</v>
      </c>
      <c r="U184" s="58" t="e">
        <f t="shared" si="64"/>
        <v>#NAME?</v>
      </c>
    </row>
    <row r="185" spans="1:21" ht="12.75">
      <c r="A185" s="52">
        <f ca="1" t="shared" si="51"/>
        <v>0.49259935672001026</v>
      </c>
      <c r="B185" s="48">
        <f t="shared" si="52"/>
        <v>-0.018551725788326687</v>
      </c>
      <c r="D185" s="2">
        <v>139</v>
      </c>
      <c r="E185" s="35">
        <f t="shared" si="65"/>
        <v>0.38082191780821917</v>
      </c>
      <c r="F185" s="26">
        <f t="shared" si="53"/>
        <v>54.85581074393478</v>
      </c>
      <c r="G185" s="37" t="e">
        <f t="shared" si="54"/>
        <v>#NAME?</v>
      </c>
      <c r="H185" s="57" t="e">
        <f t="shared" si="67"/>
        <v>#NAME?</v>
      </c>
      <c r="I185" s="57" t="e">
        <f t="shared" si="55"/>
        <v>#NAME?</v>
      </c>
      <c r="J185" s="57" t="e">
        <f t="shared" si="56"/>
        <v>#NAME?</v>
      </c>
      <c r="K185" s="58" t="e">
        <f t="shared" si="57"/>
        <v>#NAME?</v>
      </c>
      <c r="M185" s="26">
        <f t="shared" si="58"/>
        <v>46.627346603771116</v>
      </c>
      <c r="N185" s="37" t="e">
        <f t="shared" si="59"/>
        <v>#NAME?</v>
      </c>
      <c r="O185" s="57" t="e">
        <f t="shared" si="66"/>
        <v>#NAME?</v>
      </c>
      <c r="P185" s="57" t="e">
        <f t="shared" si="60"/>
        <v>#NAME?</v>
      </c>
      <c r="Q185" s="57" t="e">
        <f t="shared" si="61"/>
        <v>#NAME?</v>
      </c>
      <c r="R185" s="58" t="e">
        <f t="shared" si="62"/>
        <v>#NAME?</v>
      </c>
      <c r="T185" s="132" t="e">
        <f t="shared" si="63"/>
        <v>#NAME?</v>
      </c>
      <c r="U185" s="58" t="e">
        <f t="shared" si="64"/>
        <v>#NAME?</v>
      </c>
    </row>
    <row r="186" spans="1:21" ht="13.5" thickBot="1">
      <c r="A186" s="53">
        <f ca="1" t="shared" si="51"/>
        <v>0.297062472562238</v>
      </c>
      <c r="B186" s="49">
        <f t="shared" si="52"/>
        <v>-0.5328680185796739</v>
      </c>
      <c r="D186" s="2">
        <v>140</v>
      </c>
      <c r="E186" s="35">
        <f>D186/365-0.0001</f>
        <v>0.38346164383561643</v>
      </c>
      <c r="F186" s="27">
        <f t="shared" si="53"/>
        <v>54.56058550865402</v>
      </c>
      <c r="G186" s="63" t="e">
        <f t="shared" si="54"/>
        <v>#NAME?</v>
      </c>
      <c r="H186" s="64" t="e">
        <f t="shared" si="67"/>
        <v>#NAME?</v>
      </c>
      <c r="I186" s="64" t="e">
        <f t="shared" si="55"/>
        <v>#NAME?</v>
      </c>
      <c r="J186" s="64"/>
      <c r="K186" s="65" t="e">
        <f t="shared" si="57"/>
        <v>#NAME?</v>
      </c>
      <c r="M186" s="27">
        <f t="shared" si="58"/>
        <v>46.887070940883504</v>
      </c>
      <c r="N186" s="63" t="e">
        <f t="shared" si="59"/>
        <v>#NAME?</v>
      </c>
      <c r="O186" s="64" t="e">
        <f t="shared" si="66"/>
        <v>#NAME?</v>
      </c>
      <c r="P186" s="64" t="e">
        <f t="shared" si="60"/>
        <v>#NAME?</v>
      </c>
      <c r="Q186" s="64" t="e">
        <f t="shared" si="61"/>
        <v>#NAME?</v>
      </c>
      <c r="R186" s="65" t="e">
        <f t="shared" si="62"/>
        <v>#NAME?</v>
      </c>
      <c r="T186" s="134" t="e">
        <f t="shared" si="63"/>
        <v>#NAME?</v>
      </c>
      <c r="U186" s="135" t="e">
        <f t="shared" si="64"/>
        <v>#NAME?</v>
      </c>
    </row>
    <row r="187" spans="4:21" ht="13.5" thickBot="1">
      <c r="D187" s="2"/>
      <c r="E187" s="35"/>
      <c r="K187" s="129" t="e">
        <f>K186-G186*F186*C12</f>
        <v>#NAME?</v>
      </c>
      <c r="R187" s="129" t="e">
        <f>R186-N186*M186*C12</f>
        <v>#NAME?</v>
      </c>
      <c r="T187" s="133" t="e">
        <f>SUM(T46:T186)</f>
        <v>#NAME?</v>
      </c>
      <c r="U187" s="65" t="e">
        <f>SUM(U46:U186)</f>
        <v>#NAME?</v>
      </c>
    </row>
    <row r="188" spans="4:5" ht="12.75">
      <c r="D188" s="2"/>
      <c r="E188" s="35"/>
    </row>
    <row r="189" spans="4:5" ht="12.75">
      <c r="D189" s="2"/>
      <c r="E189" s="35"/>
    </row>
    <row r="190" spans="4:5" ht="12.75">
      <c r="D190" s="2"/>
      <c r="E190" s="35"/>
    </row>
    <row r="191" spans="4:5" ht="12.75">
      <c r="D191" s="2"/>
      <c r="E191" s="35"/>
    </row>
    <row r="192" spans="4:5" ht="12.75">
      <c r="D192" s="2"/>
      <c r="E192" s="35"/>
    </row>
    <row r="193" spans="4:5" ht="12.75">
      <c r="D193" s="2"/>
      <c r="E193" s="35"/>
    </row>
    <row r="194" spans="4:5" ht="12.75">
      <c r="D194" s="2"/>
      <c r="E194" s="35"/>
    </row>
    <row r="195" spans="4:5" ht="12.75">
      <c r="D195" s="2"/>
      <c r="E195" s="35"/>
    </row>
    <row r="196" spans="4:5" ht="12.75">
      <c r="D196" s="2"/>
      <c r="E196" s="35"/>
    </row>
    <row r="197" spans="4:5" ht="12.75">
      <c r="D197" s="2"/>
      <c r="E197" s="35"/>
    </row>
    <row r="198" spans="4:5" ht="12.75">
      <c r="D198" s="2"/>
      <c r="E198" s="35"/>
    </row>
    <row r="199" spans="4:5" ht="12.75">
      <c r="D199" s="2"/>
      <c r="E199" s="35"/>
    </row>
    <row r="200" spans="4:5" ht="12.75">
      <c r="D200" s="2"/>
      <c r="E200" s="35"/>
    </row>
    <row r="201" spans="4:5" ht="12.75">
      <c r="D201" s="2"/>
      <c r="E201" s="35"/>
    </row>
    <row r="202" spans="4:5" ht="12.75">
      <c r="D202" s="2"/>
      <c r="E202" s="35"/>
    </row>
    <row r="203" spans="4:5" ht="12.75">
      <c r="D203" s="2"/>
      <c r="E203" s="35"/>
    </row>
    <row r="204" spans="4:5" ht="12.75">
      <c r="D204" s="2"/>
      <c r="E204" s="35"/>
    </row>
    <row r="205" spans="4:5" ht="12.75">
      <c r="D205" s="2"/>
      <c r="E205" s="35"/>
    </row>
    <row r="206" spans="4:5" ht="12.75">
      <c r="D206" s="2"/>
      <c r="E206" s="35"/>
    </row>
    <row r="207" spans="4:5" ht="12.75">
      <c r="D207" s="2"/>
      <c r="E207" s="35"/>
    </row>
    <row r="208" spans="4:5" ht="12.75">
      <c r="D208" s="2"/>
      <c r="E208" s="35"/>
    </row>
    <row r="209" spans="4:5" ht="12.75">
      <c r="D209" s="2"/>
      <c r="E209" s="35"/>
    </row>
    <row r="210" spans="4:5" ht="12.75">
      <c r="D210" s="2"/>
      <c r="E210" s="35"/>
    </row>
    <row r="211" spans="4:5" ht="12.75">
      <c r="D211" s="2"/>
      <c r="E211" s="35"/>
    </row>
    <row r="212" spans="4:5" ht="12.75">
      <c r="D212" s="2"/>
      <c r="E212" s="35"/>
    </row>
    <row r="213" spans="4:5" ht="12.75">
      <c r="D213" s="2"/>
      <c r="E213" s="35"/>
    </row>
    <row r="214" spans="4:5" ht="12.75">
      <c r="D214" s="2"/>
      <c r="E214" s="35"/>
    </row>
  </sheetData>
  <sheetProtection/>
  <mergeCells count="10">
    <mergeCell ref="A45:B45"/>
    <mergeCell ref="F44:K44"/>
    <mergeCell ref="M44:R44"/>
    <mergeCell ref="T19:U19"/>
    <mergeCell ref="T44:U44"/>
    <mergeCell ref="G8:I8"/>
    <mergeCell ref="G13:I13"/>
    <mergeCell ref="A20:B20"/>
    <mergeCell ref="F19:K19"/>
    <mergeCell ref="M19:R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Z213"/>
  <sheetViews>
    <sheetView zoomScale="110" zoomScaleNormal="110" zoomScalePageLayoutView="0" workbookViewId="0" topLeftCell="C1">
      <selection activeCell="I5" sqref="I5"/>
    </sheetView>
  </sheetViews>
  <sheetFormatPr defaultColWidth="9.140625" defaultRowHeight="12.75"/>
  <cols>
    <col min="1" max="1" width="9.57421875" style="0" bestFit="1" customWidth="1"/>
    <col min="2" max="2" width="10.7109375" style="0" bestFit="1" customWidth="1"/>
    <col min="3" max="3" width="4.7109375" style="0" bestFit="1" customWidth="1"/>
    <col min="4" max="4" width="5.8515625" style="0" bestFit="1" customWidth="1"/>
    <col min="7" max="7" width="11.00390625" style="0" bestFit="1" customWidth="1"/>
    <col min="8" max="8" width="9.7109375" style="0" customWidth="1"/>
    <col min="9" max="12" width="9.57421875" style="0" bestFit="1" customWidth="1"/>
    <col min="13" max="13" width="9.28125" style="0" bestFit="1" customWidth="1"/>
    <col min="15" max="15" width="10.28125" style="0" customWidth="1"/>
    <col min="16" max="16" width="9.7109375" style="0" customWidth="1"/>
    <col min="20" max="20" width="10.7109375" style="0" bestFit="1" customWidth="1"/>
  </cols>
  <sheetData>
    <row r="1" spans="3:21" ht="15.75">
      <c r="C1" s="125"/>
      <c r="D1" s="125"/>
      <c r="E1" s="125"/>
      <c r="F1" s="125"/>
      <c r="G1" s="125"/>
      <c r="I1" s="125"/>
      <c r="J1" s="125"/>
      <c r="K1" s="126" t="s">
        <v>294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3:21" ht="15.75">
      <c r="C2" s="125"/>
      <c r="D2" s="125"/>
      <c r="E2" s="125"/>
      <c r="F2" s="125"/>
      <c r="G2" s="125"/>
      <c r="H2" s="125"/>
      <c r="I2" s="125"/>
      <c r="J2" s="125"/>
      <c r="K2" s="126" t="s">
        <v>293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3:21" ht="15.75">
      <c r="C3" s="125"/>
      <c r="D3" s="125"/>
      <c r="E3" s="125"/>
      <c r="F3" s="125"/>
      <c r="G3" s="125"/>
      <c r="H3" s="125"/>
      <c r="I3" s="125"/>
      <c r="J3" s="125"/>
      <c r="K3" s="126" t="s">
        <v>328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1:13" ht="12.75">
      <c r="A5" s="16" t="s">
        <v>83</v>
      </c>
      <c r="M5" s="18" t="s">
        <v>63</v>
      </c>
    </row>
    <row r="7" spans="2:17" ht="13.5" thickBot="1">
      <c r="B7" s="193" t="s">
        <v>67</v>
      </c>
      <c r="C7" s="193"/>
      <c r="F7" s="193" t="s">
        <v>84</v>
      </c>
      <c r="G7" s="193"/>
      <c r="I7" s="193" t="s">
        <v>68</v>
      </c>
      <c r="J7" s="193"/>
      <c r="M7" s="197" t="s">
        <v>61</v>
      </c>
      <c r="N7" s="197"/>
      <c r="O7" s="197"/>
      <c r="P7" s="202" t="s">
        <v>80</v>
      </c>
      <c r="Q7" s="202"/>
    </row>
    <row r="8" spans="2:17" ht="14.25" thickBot="1" thickTop="1">
      <c r="B8" s="69" t="s">
        <v>5</v>
      </c>
      <c r="C8" s="23">
        <v>49</v>
      </c>
      <c r="F8" s="17" t="s">
        <v>6</v>
      </c>
      <c r="G8" s="2">
        <v>52</v>
      </c>
      <c r="I8" s="17" t="s">
        <v>6</v>
      </c>
      <c r="J8" s="2">
        <v>55</v>
      </c>
      <c r="L8" s="29"/>
      <c r="M8" s="70" t="s">
        <v>54</v>
      </c>
      <c r="N8" s="76" t="s">
        <v>65</v>
      </c>
      <c r="O8" s="75" t="s">
        <v>66</v>
      </c>
      <c r="P8" s="92" t="s">
        <v>81</v>
      </c>
      <c r="Q8" s="75" t="s">
        <v>82</v>
      </c>
    </row>
    <row r="9" spans="2:17" ht="13.5" thickTop="1">
      <c r="B9" s="69" t="s">
        <v>44</v>
      </c>
      <c r="C9" s="42">
        <v>0.05</v>
      </c>
      <c r="F9" s="17" t="s">
        <v>52</v>
      </c>
      <c r="G9" s="47">
        <v>1000</v>
      </c>
      <c r="I9" s="17" t="s">
        <v>30</v>
      </c>
      <c r="J9" s="2">
        <v>0.5</v>
      </c>
      <c r="L9" s="69" t="s">
        <v>57</v>
      </c>
      <c r="M9" s="71" t="e">
        <f>T40</f>
        <v>#NAME?</v>
      </c>
      <c r="N9" s="77">
        <f>IF(F40&gt;G8,IF(G12,1,F40),0)*G9</f>
        <v>0</v>
      </c>
      <c r="O9" s="58" t="e">
        <f>M9+N9</f>
        <v>#NAME?</v>
      </c>
      <c r="P9" s="73" t="e">
        <f>V41</f>
        <v>#NAME?</v>
      </c>
      <c r="Q9" s="58" t="e">
        <f>W41</f>
        <v>#NAME?</v>
      </c>
    </row>
    <row r="10" spans="2:20" ht="13.5" thickBot="1">
      <c r="B10" s="69" t="s">
        <v>48</v>
      </c>
      <c r="C10" s="42">
        <v>0.3</v>
      </c>
      <c r="F10" s="17" t="s">
        <v>30</v>
      </c>
      <c r="G10" s="45">
        <f>20*7/365</f>
        <v>0.3835616438356164</v>
      </c>
      <c r="I10" s="17" t="s">
        <v>22</v>
      </c>
      <c r="J10" s="2" t="b">
        <v>1</v>
      </c>
      <c r="L10" s="69" t="s">
        <v>58</v>
      </c>
      <c r="M10" s="72" t="e">
        <f>T67</f>
        <v>#NAME?</v>
      </c>
      <c r="N10" s="78">
        <f>IF(F66&gt;G8,IF(G12,1,F66),0)*G9</f>
        <v>57514.48254089463</v>
      </c>
      <c r="O10" s="65" t="e">
        <f>M10+N10</f>
        <v>#NAME?</v>
      </c>
      <c r="P10" s="74" t="e">
        <f>V67</f>
        <v>#NAME?</v>
      </c>
      <c r="Q10" s="65" t="e">
        <f>W67</f>
        <v>#NAME?</v>
      </c>
      <c r="T10" s="57"/>
    </row>
    <row r="11" spans="5:12" ht="12.75">
      <c r="E11" s="67"/>
      <c r="F11" s="17" t="s">
        <v>22</v>
      </c>
      <c r="G11" s="2" t="b">
        <v>1</v>
      </c>
      <c r="L11" s="17"/>
    </row>
    <row r="12" spans="5:7" ht="12.75">
      <c r="E12" s="67"/>
      <c r="F12" s="17" t="s">
        <v>25</v>
      </c>
      <c r="G12" t="b">
        <v>0</v>
      </c>
    </row>
    <row r="13" spans="6:10" ht="12.75">
      <c r="F13" s="56" t="s">
        <v>59</v>
      </c>
      <c r="G13" s="62">
        <f>BinaryOption(C8,G8,C9,0,C10,G10,G11,FALSE,,G12,0)*G9</f>
        <v>22087.83744897182</v>
      </c>
      <c r="I13" s="56" t="s">
        <v>59</v>
      </c>
      <c r="J13" s="79">
        <f>Black_Scholes(C8,J8,C9,0,C10,J9,J10,FALSE,,0)</f>
        <v>2.4010226574005915</v>
      </c>
    </row>
    <row r="16" ht="13.5" thickBot="1"/>
    <row r="17" spans="6:20" ht="13.5" thickBot="1">
      <c r="F17" s="191" t="s">
        <v>57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2"/>
    </row>
    <row r="18" spans="6:23" ht="13.5" thickBot="1">
      <c r="F18" s="1"/>
      <c r="G18" s="199" t="s">
        <v>70</v>
      </c>
      <c r="H18" s="201"/>
      <c r="I18" s="199" t="s">
        <v>71</v>
      </c>
      <c r="J18" s="200"/>
      <c r="K18" s="201"/>
      <c r="L18" s="199" t="s">
        <v>77</v>
      </c>
      <c r="M18" s="200"/>
      <c r="N18" s="201"/>
      <c r="O18" s="199" t="s">
        <v>78</v>
      </c>
      <c r="P18" s="200"/>
      <c r="Q18" s="201"/>
      <c r="R18" s="29"/>
      <c r="S18" s="29"/>
      <c r="T18" s="11"/>
      <c r="V18" s="191" t="s">
        <v>80</v>
      </c>
      <c r="W18" s="192"/>
    </row>
    <row r="19" spans="1:23" ht="25.5" customHeight="1" thickBot="1">
      <c r="A19" s="194" t="s">
        <v>56</v>
      </c>
      <c r="B19" s="195"/>
      <c r="D19" s="54" t="s">
        <v>49</v>
      </c>
      <c r="E19" s="54" t="s">
        <v>30</v>
      </c>
      <c r="F19" s="59" t="s">
        <v>5</v>
      </c>
      <c r="G19" s="81" t="s">
        <v>50</v>
      </c>
      <c r="H19" s="82" t="s">
        <v>69</v>
      </c>
      <c r="I19" s="81" t="s">
        <v>73</v>
      </c>
      <c r="J19" s="60" t="s">
        <v>50</v>
      </c>
      <c r="K19" s="82" t="s">
        <v>69</v>
      </c>
      <c r="L19" s="81" t="s">
        <v>74</v>
      </c>
      <c r="M19" s="60" t="s">
        <v>72</v>
      </c>
      <c r="N19" s="82" t="s">
        <v>53</v>
      </c>
      <c r="O19" s="81" t="s">
        <v>76</v>
      </c>
      <c r="P19" s="60" t="s">
        <v>51</v>
      </c>
      <c r="Q19" s="82" t="s">
        <v>53</v>
      </c>
      <c r="R19" s="60" t="s">
        <v>75</v>
      </c>
      <c r="S19" s="60" t="s">
        <v>55</v>
      </c>
      <c r="T19" s="61" t="s">
        <v>54</v>
      </c>
      <c r="V19" s="136" t="s">
        <v>81</v>
      </c>
      <c r="W19" s="137" t="s">
        <v>82</v>
      </c>
    </row>
    <row r="20" spans="1:26" ht="14.25" thickBot="1" thickTop="1">
      <c r="A20" s="51" t="s">
        <v>46</v>
      </c>
      <c r="B20" s="50" t="s">
        <v>47</v>
      </c>
      <c r="D20" s="2">
        <v>0</v>
      </c>
      <c r="E20" s="35">
        <f aca="true" t="shared" si="0" ref="E20:E39">D20*7/365</f>
        <v>0</v>
      </c>
      <c r="F20" s="26">
        <f>C8</f>
        <v>49</v>
      </c>
      <c r="G20" s="88">
        <f>BinaryOption(F20,$G$8,$C$9,0,$C$10,$G$10-E20,$G$11,FALSE,,$G$12,1)*$G$9</f>
        <v>2581.593644465652</v>
      </c>
      <c r="H20" s="89">
        <f>BinaryOption(F20,$G$8,$C$9,0,$C$10,$G$10-E20,$G$11,FALSE,,$G$12,2)*$G$9</f>
        <v>72.44408199800846</v>
      </c>
      <c r="I20" s="36">
        <f aca="true" t="shared" si="1" ref="I20:I40">Black_Scholes(F20,$J$8,$C$9,0,$C$10,$J$9-E20,$J$10,FALSE,,0)</f>
        <v>2.4010226574005915</v>
      </c>
      <c r="J20" s="37">
        <f aca="true" t="shared" si="2" ref="J20:J40">Black_Scholes(F20,$J$8,$C$9,0,$C$10,$J$9-E20,$J$10,FALSE,,1)</f>
        <v>0.3742508549144174</v>
      </c>
      <c r="K20" s="38">
        <f aca="true" t="shared" si="3" ref="K20:K40">Black_Scholes(F20,$J$8,$C$9,0,$C$10,$J$9-E20,$J$10,FALSE,,2)</f>
        <v>0.0364574413102299</v>
      </c>
      <c r="L20" s="83">
        <f>H20/K20</f>
        <v>1987.0862955399114</v>
      </c>
      <c r="M20" s="57">
        <f>L20</f>
        <v>1987.0862955399114</v>
      </c>
      <c r="N20" s="68">
        <f>M20*I20</f>
        <v>4771.039217801535</v>
      </c>
      <c r="O20" s="83">
        <f>G20-J20*L20</f>
        <v>1837.9248995711173</v>
      </c>
      <c r="P20" s="57">
        <f>O20</f>
        <v>1837.9248995711173</v>
      </c>
      <c r="Q20" s="68">
        <f aca="true" t="shared" si="4" ref="Q20:Q40">P20*F20</f>
        <v>90058.32007898475</v>
      </c>
      <c r="R20" s="57">
        <f aca="true" t="shared" si="5" ref="R20:R40">N20+Q20</f>
        <v>94829.35929678628</v>
      </c>
      <c r="S20" s="57">
        <f aca="true" t="shared" si="6" ref="S20:S39">(EXP($C$9*(E21-E20))-1)*T20</f>
        <v>90.9758739380737</v>
      </c>
      <c r="T20" s="58">
        <f>R20</f>
        <v>94829.35929678628</v>
      </c>
      <c r="U20" s="46"/>
      <c r="V20" s="130">
        <f>ABS(M20)</f>
        <v>1987.0862955399114</v>
      </c>
      <c r="W20" s="131">
        <f>ABS(P20)</f>
        <v>1837.9248995711173</v>
      </c>
      <c r="Y20" s="46"/>
      <c r="Z20" s="46"/>
    </row>
    <row r="21" spans="1:26" ht="13.5" thickTop="1">
      <c r="A21" s="52">
        <f aca="true" ca="1" t="shared" si="7" ref="A21:A40">0.000005+0.99999*RAND()</f>
        <v>0.869393088004272</v>
      </c>
      <c r="B21" s="48">
        <f aca="true" t="shared" si="8" ref="B21:B40">NORMSINV(A21)</f>
        <v>1.1235268023814298</v>
      </c>
      <c r="D21" s="2">
        <v>1</v>
      </c>
      <c r="E21" s="35">
        <f t="shared" si="0"/>
        <v>0.019178082191780823</v>
      </c>
      <c r="F21" s="26">
        <f aca="true" t="shared" si="9" ref="F21:F40">F20*EXP(($C$9-0.5*$C$10*$C$10)*(E21-E20)+$C$10*B21*SQRT(E21-E20))</f>
        <v>51.34633985390488</v>
      </c>
      <c r="G21" s="88" t="e">
        <f aca="true" t="shared" si="10" ref="G21:G40">BinaryOption(F21,$G$8,$C$9,0,$C$10,$G$10-E21,$G$11,FALSE,,$G$12,1)*$G$9</f>
        <v>#NAME?</v>
      </c>
      <c r="H21" s="89" t="e">
        <f aca="true" t="shared" si="11" ref="H21:H40">BinaryOption(F21,$G$8,$C$9,0,$C$10,$G$10-E21,$G$11,FALSE,,$G$12,2)*$G$9</f>
        <v>#NAME?</v>
      </c>
      <c r="I21" s="36" t="e">
        <f t="shared" si="1"/>
        <v>#NAME?</v>
      </c>
      <c r="J21" s="37" t="e">
        <f t="shared" si="2"/>
        <v>#NAME?</v>
      </c>
      <c r="K21" s="38" t="e">
        <f t="shared" si="3"/>
        <v>#NAME?</v>
      </c>
      <c r="L21" s="83" t="e">
        <f aca="true" t="shared" si="12" ref="L21:L40">H21/K21</f>
        <v>#NAME?</v>
      </c>
      <c r="M21" s="57" t="e">
        <f>L21-L20</f>
        <v>#NAME?</v>
      </c>
      <c r="N21" s="68" t="e">
        <f>M21*I21</f>
        <v>#NAME?</v>
      </c>
      <c r="O21" s="83" t="e">
        <f aca="true" t="shared" si="13" ref="O21:O40">G21-J21*L21</f>
        <v>#NAME?</v>
      </c>
      <c r="P21" s="57" t="e">
        <f>O21-O20</f>
        <v>#NAME?</v>
      </c>
      <c r="Q21" s="68" t="e">
        <f t="shared" si="4"/>
        <v>#NAME?</v>
      </c>
      <c r="R21" s="57" t="e">
        <f t="shared" si="5"/>
        <v>#NAME?</v>
      </c>
      <c r="S21" s="57" t="e">
        <f t="shared" si="6"/>
        <v>#NAME?</v>
      </c>
      <c r="T21" s="58" t="e">
        <f aca="true" t="shared" si="14" ref="T21:T40">T20+S20+Q21</f>
        <v>#NAME?</v>
      </c>
      <c r="U21" s="46"/>
      <c r="V21" s="132" t="e">
        <f aca="true" t="shared" si="15" ref="V21:V40">ABS(M21)</f>
        <v>#NAME?</v>
      </c>
      <c r="W21" s="58" t="e">
        <f aca="true" t="shared" si="16" ref="W21:W40">ABS(P21)</f>
        <v>#NAME?</v>
      </c>
      <c r="Y21" s="46"/>
      <c r="Z21" s="46"/>
    </row>
    <row r="22" spans="1:26" ht="12.75">
      <c r="A22" s="52">
        <f ca="1" t="shared" si="7"/>
        <v>0.41673519977227175</v>
      </c>
      <c r="B22" s="48">
        <f t="shared" si="8"/>
        <v>-0.2102527646823083</v>
      </c>
      <c r="D22" s="2">
        <v>2</v>
      </c>
      <c r="E22" s="35">
        <f t="shared" si="0"/>
        <v>0.038356164383561646</v>
      </c>
      <c r="F22" s="26">
        <f t="shared" si="9"/>
        <v>50.904661076350315</v>
      </c>
      <c r="G22" s="88" t="e">
        <f t="shared" si="10"/>
        <v>#NAME?</v>
      </c>
      <c r="H22" s="89" t="e">
        <f t="shared" si="11"/>
        <v>#NAME?</v>
      </c>
      <c r="I22" s="36" t="e">
        <f t="shared" si="1"/>
        <v>#NAME?</v>
      </c>
      <c r="J22" s="37" t="e">
        <f t="shared" si="2"/>
        <v>#NAME?</v>
      </c>
      <c r="K22" s="38" t="e">
        <f t="shared" si="3"/>
        <v>#NAME?</v>
      </c>
      <c r="L22" s="83" t="e">
        <f t="shared" si="12"/>
        <v>#NAME?</v>
      </c>
      <c r="M22" s="57" t="e">
        <f aca="true" t="shared" si="17" ref="M22:M40">L22-L21</f>
        <v>#NAME?</v>
      </c>
      <c r="N22" s="68" t="e">
        <f aca="true" t="shared" si="18" ref="N22:N40">M22*I22</f>
        <v>#NAME?</v>
      </c>
      <c r="O22" s="83" t="e">
        <f t="shared" si="13"/>
        <v>#NAME?</v>
      </c>
      <c r="P22" s="57" t="e">
        <f aca="true" t="shared" si="19" ref="P22:P40">O22-O21</f>
        <v>#NAME?</v>
      </c>
      <c r="Q22" s="68" t="e">
        <f t="shared" si="4"/>
        <v>#NAME?</v>
      </c>
      <c r="R22" s="57" t="e">
        <f t="shared" si="5"/>
        <v>#NAME?</v>
      </c>
      <c r="S22" s="57" t="e">
        <f t="shared" si="6"/>
        <v>#NAME?</v>
      </c>
      <c r="T22" s="58" t="e">
        <f t="shared" si="14"/>
        <v>#NAME?</v>
      </c>
      <c r="U22" s="46"/>
      <c r="V22" s="132" t="e">
        <f t="shared" si="15"/>
        <v>#NAME?</v>
      </c>
      <c r="W22" s="58" t="e">
        <f t="shared" si="16"/>
        <v>#NAME?</v>
      </c>
      <c r="Y22" s="46"/>
      <c r="Z22" s="46"/>
    </row>
    <row r="23" spans="1:26" ht="12.75">
      <c r="A23" s="52">
        <f ca="1" t="shared" si="7"/>
        <v>0.9676731656135105</v>
      </c>
      <c r="B23" s="48">
        <f t="shared" si="8"/>
        <v>1.8476453214503756</v>
      </c>
      <c r="D23" s="2">
        <v>3</v>
      </c>
      <c r="E23" s="35">
        <f t="shared" si="0"/>
        <v>0.057534246575342465</v>
      </c>
      <c r="F23" s="26">
        <f t="shared" si="9"/>
        <v>54.97132609747565</v>
      </c>
      <c r="G23" s="88" t="e">
        <f t="shared" si="10"/>
        <v>#NAME?</v>
      </c>
      <c r="H23" s="89" t="e">
        <f t="shared" si="11"/>
        <v>#NAME?</v>
      </c>
      <c r="I23" s="36" t="e">
        <f t="shared" si="1"/>
        <v>#NAME?</v>
      </c>
      <c r="J23" s="37" t="e">
        <f t="shared" si="2"/>
        <v>#NAME?</v>
      </c>
      <c r="K23" s="38" t="e">
        <f t="shared" si="3"/>
        <v>#NAME?</v>
      </c>
      <c r="L23" s="83" t="e">
        <f t="shared" si="12"/>
        <v>#NAME?</v>
      </c>
      <c r="M23" s="57" t="e">
        <f t="shared" si="17"/>
        <v>#NAME?</v>
      </c>
      <c r="N23" s="68" t="e">
        <f t="shared" si="18"/>
        <v>#NAME?</v>
      </c>
      <c r="O23" s="83" t="e">
        <f t="shared" si="13"/>
        <v>#NAME?</v>
      </c>
      <c r="P23" s="57" t="e">
        <f t="shared" si="19"/>
        <v>#NAME?</v>
      </c>
      <c r="Q23" s="68" t="e">
        <f t="shared" si="4"/>
        <v>#NAME?</v>
      </c>
      <c r="R23" s="57" t="e">
        <f t="shared" si="5"/>
        <v>#NAME?</v>
      </c>
      <c r="S23" s="57" t="e">
        <f t="shared" si="6"/>
        <v>#NAME?</v>
      </c>
      <c r="T23" s="58" t="e">
        <f t="shared" si="14"/>
        <v>#NAME?</v>
      </c>
      <c r="U23" s="46"/>
      <c r="V23" s="132" t="e">
        <f t="shared" si="15"/>
        <v>#NAME?</v>
      </c>
      <c r="W23" s="58" t="e">
        <f t="shared" si="16"/>
        <v>#NAME?</v>
      </c>
      <c r="Y23" s="46"/>
      <c r="Z23" s="46"/>
    </row>
    <row r="24" spans="1:26" ht="12.75">
      <c r="A24" s="52">
        <f ca="1" t="shared" si="7"/>
        <v>0.020423081015844943</v>
      </c>
      <c r="B24" s="48">
        <f t="shared" si="8"/>
        <v>-2.0450882139965936</v>
      </c>
      <c r="D24" s="2">
        <v>4</v>
      </c>
      <c r="E24" s="35">
        <f t="shared" si="0"/>
        <v>0.07671232876712329</v>
      </c>
      <c r="F24" s="26">
        <f t="shared" si="9"/>
        <v>50.4984888711518</v>
      </c>
      <c r="G24" s="88" t="e">
        <f t="shared" si="10"/>
        <v>#NAME?</v>
      </c>
      <c r="H24" s="89" t="e">
        <f t="shared" si="11"/>
        <v>#NAME?</v>
      </c>
      <c r="I24" s="36" t="e">
        <f t="shared" si="1"/>
        <v>#NAME?</v>
      </c>
      <c r="J24" s="37" t="e">
        <f t="shared" si="2"/>
        <v>#NAME?</v>
      </c>
      <c r="K24" s="38" t="e">
        <f t="shared" si="3"/>
        <v>#NAME?</v>
      </c>
      <c r="L24" s="83" t="e">
        <f t="shared" si="12"/>
        <v>#NAME?</v>
      </c>
      <c r="M24" s="57" t="e">
        <f t="shared" si="17"/>
        <v>#NAME?</v>
      </c>
      <c r="N24" s="68" t="e">
        <f t="shared" si="18"/>
        <v>#NAME?</v>
      </c>
      <c r="O24" s="83" t="e">
        <f t="shared" si="13"/>
        <v>#NAME?</v>
      </c>
      <c r="P24" s="57" t="e">
        <f t="shared" si="19"/>
        <v>#NAME?</v>
      </c>
      <c r="Q24" s="68" t="e">
        <f t="shared" si="4"/>
        <v>#NAME?</v>
      </c>
      <c r="R24" s="57" t="e">
        <f t="shared" si="5"/>
        <v>#NAME?</v>
      </c>
      <c r="S24" s="57" t="e">
        <f t="shared" si="6"/>
        <v>#NAME?</v>
      </c>
      <c r="T24" s="58" t="e">
        <f t="shared" si="14"/>
        <v>#NAME?</v>
      </c>
      <c r="U24" s="46"/>
      <c r="V24" s="132" t="e">
        <f t="shared" si="15"/>
        <v>#NAME?</v>
      </c>
      <c r="W24" s="58" t="e">
        <f t="shared" si="16"/>
        <v>#NAME?</v>
      </c>
      <c r="Y24" s="46"/>
      <c r="Z24" s="46"/>
    </row>
    <row r="25" spans="1:26" ht="12.75">
      <c r="A25" s="52">
        <f ca="1" t="shared" si="7"/>
        <v>0.9681982784630848</v>
      </c>
      <c r="B25" s="48">
        <f t="shared" si="8"/>
        <v>1.8549494670001234</v>
      </c>
      <c r="D25" s="2">
        <v>5</v>
      </c>
      <c r="E25" s="35">
        <f t="shared" si="0"/>
        <v>0.0958904109589041</v>
      </c>
      <c r="F25" s="26">
        <f t="shared" si="9"/>
        <v>54.5492563531219</v>
      </c>
      <c r="G25" s="88" t="e">
        <f t="shared" si="10"/>
        <v>#NAME?</v>
      </c>
      <c r="H25" s="89" t="e">
        <f t="shared" si="11"/>
        <v>#NAME?</v>
      </c>
      <c r="I25" s="36" t="e">
        <f t="shared" si="1"/>
        <v>#NAME?</v>
      </c>
      <c r="J25" s="37" t="e">
        <f t="shared" si="2"/>
        <v>#NAME?</v>
      </c>
      <c r="K25" s="38" t="e">
        <f t="shared" si="3"/>
        <v>#NAME?</v>
      </c>
      <c r="L25" s="83" t="e">
        <f t="shared" si="12"/>
        <v>#NAME?</v>
      </c>
      <c r="M25" s="57" t="e">
        <f t="shared" si="17"/>
        <v>#NAME?</v>
      </c>
      <c r="N25" s="68" t="e">
        <f t="shared" si="18"/>
        <v>#NAME?</v>
      </c>
      <c r="O25" s="83" t="e">
        <f t="shared" si="13"/>
        <v>#NAME?</v>
      </c>
      <c r="P25" s="57" t="e">
        <f t="shared" si="19"/>
        <v>#NAME?</v>
      </c>
      <c r="Q25" s="68" t="e">
        <f t="shared" si="4"/>
        <v>#NAME?</v>
      </c>
      <c r="R25" s="57" t="e">
        <f t="shared" si="5"/>
        <v>#NAME?</v>
      </c>
      <c r="S25" s="57" t="e">
        <f t="shared" si="6"/>
        <v>#NAME?</v>
      </c>
      <c r="T25" s="58" t="e">
        <f t="shared" si="14"/>
        <v>#NAME?</v>
      </c>
      <c r="U25" s="46"/>
      <c r="V25" s="132" t="e">
        <f t="shared" si="15"/>
        <v>#NAME?</v>
      </c>
      <c r="W25" s="58" t="e">
        <f t="shared" si="16"/>
        <v>#NAME?</v>
      </c>
      <c r="Y25" s="46"/>
      <c r="Z25" s="46"/>
    </row>
    <row r="26" spans="1:26" ht="12.75">
      <c r="A26" s="52">
        <f ca="1" t="shared" si="7"/>
        <v>0.11101947104118444</v>
      </c>
      <c r="B26" s="48">
        <f t="shared" si="8"/>
        <v>-1.2211243484102687</v>
      </c>
      <c r="D26" s="2">
        <v>6</v>
      </c>
      <c r="E26" s="35">
        <f t="shared" si="0"/>
        <v>0.11506849315068493</v>
      </c>
      <c r="F26" s="26">
        <f t="shared" si="9"/>
        <v>51.85585062535175</v>
      </c>
      <c r="G26" s="88" t="e">
        <f t="shared" si="10"/>
        <v>#NAME?</v>
      </c>
      <c r="H26" s="89" t="e">
        <f t="shared" si="11"/>
        <v>#NAME?</v>
      </c>
      <c r="I26" s="36" t="e">
        <f t="shared" si="1"/>
        <v>#NAME?</v>
      </c>
      <c r="J26" s="37" t="e">
        <f t="shared" si="2"/>
        <v>#NAME?</v>
      </c>
      <c r="K26" s="38" t="e">
        <f t="shared" si="3"/>
        <v>#NAME?</v>
      </c>
      <c r="L26" s="83" t="e">
        <f t="shared" si="12"/>
        <v>#NAME?</v>
      </c>
      <c r="M26" s="57" t="e">
        <f t="shared" si="17"/>
        <v>#NAME?</v>
      </c>
      <c r="N26" s="68" t="e">
        <f t="shared" si="18"/>
        <v>#NAME?</v>
      </c>
      <c r="O26" s="83" t="e">
        <f t="shared" si="13"/>
        <v>#NAME?</v>
      </c>
      <c r="P26" s="57" t="e">
        <f t="shared" si="19"/>
        <v>#NAME?</v>
      </c>
      <c r="Q26" s="68" t="e">
        <f t="shared" si="4"/>
        <v>#NAME?</v>
      </c>
      <c r="R26" s="57" t="e">
        <f t="shared" si="5"/>
        <v>#NAME?</v>
      </c>
      <c r="S26" s="57" t="e">
        <f t="shared" si="6"/>
        <v>#NAME?</v>
      </c>
      <c r="T26" s="58" t="e">
        <f t="shared" si="14"/>
        <v>#NAME?</v>
      </c>
      <c r="U26" s="46"/>
      <c r="V26" s="132" t="e">
        <f t="shared" si="15"/>
        <v>#NAME?</v>
      </c>
      <c r="W26" s="58" t="e">
        <f t="shared" si="16"/>
        <v>#NAME?</v>
      </c>
      <c r="Y26" s="46"/>
      <c r="Z26" s="46"/>
    </row>
    <row r="27" spans="1:26" ht="12.75">
      <c r="A27" s="52">
        <f ca="1" t="shared" si="7"/>
        <v>0.3262638940020501</v>
      </c>
      <c r="B27" s="48">
        <f t="shared" si="8"/>
        <v>-0.45025332777278615</v>
      </c>
      <c r="D27" s="2">
        <v>7</v>
      </c>
      <c r="E27" s="35">
        <f t="shared" si="0"/>
        <v>0.13424657534246576</v>
      </c>
      <c r="F27" s="26">
        <f t="shared" si="9"/>
        <v>50.8997322366933</v>
      </c>
      <c r="G27" s="88" t="e">
        <f t="shared" si="10"/>
        <v>#NAME?</v>
      </c>
      <c r="H27" s="89" t="e">
        <f t="shared" si="11"/>
        <v>#NAME?</v>
      </c>
      <c r="I27" s="36" t="e">
        <f t="shared" si="1"/>
        <v>#NAME?</v>
      </c>
      <c r="J27" s="37" t="e">
        <f t="shared" si="2"/>
        <v>#NAME?</v>
      </c>
      <c r="K27" s="38" t="e">
        <f t="shared" si="3"/>
        <v>#NAME?</v>
      </c>
      <c r="L27" s="83" t="e">
        <f t="shared" si="12"/>
        <v>#NAME?</v>
      </c>
      <c r="M27" s="57" t="e">
        <f t="shared" si="17"/>
        <v>#NAME?</v>
      </c>
      <c r="N27" s="68" t="e">
        <f t="shared" si="18"/>
        <v>#NAME?</v>
      </c>
      <c r="O27" s="83" t="e">
        <f t="shared" si="13"/>
        <v>#NAME?</v>
      </c>
      <c r="P27" s="57" t="e">
        <f t="shared" si="19"/>
        <v>#NAME?</v>
      </c>
      <c r="Q27" s="68" t="e">
        <f t="shared" si="4"/>
        <v>#NAME?</v>
      </c>
      <c r="R27" s="57" t="e">
        <f t="shared" si="5"/>
        <v>#NAME?</v>
      </c>
      <c r="S27" s="57" t="e">
        <f t="shared" si="6"/>
        <v>#NAME?</v>
      </c>
      <c r="T27" s="58" t="e">
        <f t="shared" si="14"/>
        <v>#NAME?</v>
      </c>
      <c r="U27" s="46"/>
      <c r="V27" s="132" t="e">
        <f t="shared" si="15"/>
        <v>#NAME?</v>
      </c>
      <c r="W27" s="58" t="e">
        <f t="shared" si="16"/>
        <v>#NAME?</v>
      </c>
      <c r="Y27" s="46"/>
      <c r="Z27" s="46"/>
    </row>
    <row r="28" spans="1:26" ht="12.75">
      <c r="A28" s="52">
        <f ca="1" t="shared" si="7"/>
        <v>0.006910717149547041</v>
      </c>
      <c r="B28" s="48">
        <f t="shared" si="8"/>
        <v>-2.4618710665727246</v>
      </c>
      <c r="D28" s="2">
        <v>8</v>
      </c>
      <c r="E28" s="35">
        <f t="shared" si="0"/>
        <v>0.15342465753424658</v>
      </c>
      <c r="F28" s="26">
        <f t="shared" si="9"/>
        <v>45.95551777447928</v>
      </c>
      <c r="G28" s="88" t="e">
        <f t="shared" si="10"/>
        <v>#NAME?</v>
      </c>
      <c r="H28" s="89" t="e">
        <f t="shared" si="11"/>
        <v>#NAME?</v>
      </c>
      <c r="I28" s="36" t="e">
        <f t="shared" si="1"/>
        <v>#NAME?</v>
      </c>
      <c r="J28" s="37" t="e">
        <f t="shared" si="2"/>
        <v>#NAME?</v>
      </c>
      <c r="K28" s="38" t="e">
        <f t="shared" si="3"/>
        <v>#NAME?</v>
      </c>
      <c r="L28" s="83" t="e">
        <f t="shared" si="12"/>
        <v>#NAME?</v>
      </c>
      <c r="M28" s="57" t="e">
        <f t="shared" si="17"/>
        <v>#NAME?</v>
      </c>
      <c r="N28" s="68" t="e">
        <f t="shared" si="18"/>
        <v>#NAME?</v>
      </c>
      <c r="O28" s="83" t="e">
        <f t="shared" si="13"/>
        <v>#NAME?</v>
      </c>
      <c r="P28" s="57" t="e">
        <f t="shared" si="19"/>
        <v>#NAME?</v>
      </c>
      <c r="Q28" s="68" t="e">
        <f t="shared" si="4"/>
        <v>#NAME?</v>
      </c>
      <c r="R28" s="57" t="e">
        <f t="shared" si="5"/>
        <v>#NAME?</v>
      </c>
      <c r="S28" s="57" t="e">
        <f t="shared" si="6"/>
        <v>#NAME?</v>
      </c>
      <c r="T28" s="58" t="e">
        <f t="shared" si="14"/>
        <v>#NAME?</v>
      </c>
      <c r="U28" s="46"/>
      <c r="V28" s="132" t="e">
        <f t="shared" si="15"/>
        <v>#NAME?</v>
      </c>
      <c r="W28" s="58" t="e">
        <f t="shared" si="16"/>
        <v>#NAME?</v>
      </c>
      <c r="Y28" s="46"/>
      <c r="Z28" s="46"/>
    </row>
    <row r="29" spans="1:26" ht="12.75">
      <c r="A29" s="52">
        <f ca="1" t="shared" si="7"/>
        <v>0.7234402323296973</v>
      </c>
      <c r="B29" s="48">
        <f t="shared" si="8"/>
        <v>0.5930920728006286</v>
      </c>
      <c r="D29" s="2">
        <v>9</v>
      </c>
      <c r="E29" s="35">
        <f t="shared" si="0"/>
        <v>0.1726027397260274</v>
      </c>
      <c r="F29" s="26">
        <f t="shared" si="9"/>
        <v>47.106458392613746</v>
      </c>
      <c r="G29" s="88" t="e">
        <f t="shared" si="10"/>
        <v>#NAME?</v>
      </c>
      <c r="H29" s="89" t="e">
        <f t="shared" si="11"/>
        <v>#NAME?</v>
      </c>
      <c r="I29" s="36" t="e">
        <f t="shared" si="1"/>
        <v>#NAME?</v>
      </c>
      <c r="J29" s="37" t="e">
        <f t="shared" si="2"/>
        <v>#NAME?</v>
      </c>
      <c r="K29" s="38" t="e">
        <f t="shared" si="3"/>
        <v>#NAME?</v>
      </c>
      <c r="L29" s="83" t="e">
        <f t="shared" si="12"/>
        <v>#NAME?</v>
      </c>
      <c r="M29" s="57" t="e">
        <f t="shared" si="17"/>
        <v>#NAME?</v>
      </c>
      <c r="N29" s="68" t="e">
        <f t="shared" si="18"/>
        <v>#NAME?</v>
      </c>
      <c r="O29" s="83" t="e">
        <f t="shared" si="13"/>
        <v>#NAME?</v>
      </c>
      <c r="P29" s="57" t="e">
        <f t="shared" si="19"/>
        <v>#NAME?</v>
      </c>
      <c r="Q29" s="68" t="e">
        <f t="shared" si="4"/>
        <v>#NAME?</v>
      </c>
      <c r="R29" s="57" t="e">
        <f t="shared" si="5"/>
        <v>#NAME?</v>
      </c>
      <c r="S29" s="57" t="e">
        <f t="shared" si="6"/>
        <v>#NAME?</v>
      </c>
      <c r="T29" s="58" t="e">
        <f t="shared" si="14"/>
        <v>#NAME?</v>
      </c>
      <c r="U29" s="46"/>
      <c r="V29" s="132" t="e">
        <f t="shared" si="15"/>
        <v>#NAME?</v>
      </c>
      <c r="W29" s="58" t="e">
        <f t="shared" si="16"/>
        <v>#NAME?</v>
      </c>
      <c r="Y29" s="46"/>
      <c r="Z29" s="46"/>
    </row>
    <row r="30" spans="1:26" ht="12.75">
      <c r="A30" s="52">
        <f ca="1" t="shared" si="7"/>
        <v>0.16466321558855346</v>
      </c>
      <c r="B30" s="48">
        <f t="shared" si="8"/>
        <v>-0.9754715017865587</v>
      </c>
      <c r="D30" s="2">
        <v>10</v>
      </c>
      <c r="E30" s="35">
        <f t="shared" si="0"/>
        <v>0.1917808219178082</v>
      </c>
      <c r="F30" s="26">
        <f t="shared" si="9"/>
        <v>45.23990563582293</v>
      </c>
      <c r="G30" s="88" t="e">
        <f t="shared" si="10"/>
        <v>#NAME?</v>
      </c>
      <c r="H30" s="89" t="e">
        <f t="shared" si="11"/>
        <v>#NAME?</v>
      </c>
      <c r="I30" s="36" t="e">
        <f t="shared" si="1"/>
        <v>#NAME?</v>
      </c>
      <c r="J30" s="37" t="e">
        <f t="shared" si="2"/>
        <v>#NAME?</v>
      </c>
      <c r="K30" s="38" t="e">
        <f t="shared" si="3"/>
        <v>#NAME?</v>
      </c>
      <c r="L30" s="83" t="e">
        <f t="shared" si="12"/>
        <v>#NAME?</v>
      </c>
      <c r="M30" s="57" t="e">
        <f t="shared" si="17"/>
        <v>#NAME?</v>
      </c>
      <c r="N30" s="68" t="e">
        <f t="shared" si="18"/>
        <v>#NAME?</v>
      </c>
      <c r="O30" s="83" t="e">
        <f t="shared" si="13"/>
        <v>#NAME?</v>
      </c>
      <c r="P30" s="57" t="e">
        <f t="shared" si="19"/>
        <v>#NAME?</v>
      </c>
      <c r="Q30" s="68" t="e">
        <f t="shared" si="4"/>
        <v>#NAME?</v>
      </c>
      <c r="R30" s="57" t="e">
        <f t="shared" si="5"/>
        <v>#NAME?</v>
      </c>
      <c r="S30" s="57" t="e">
        <f t="shared" si="6"/>
        <v>#NAME?</v>
      </c>
      <c r="T30" s="58" t="e">
        <f t="shared" si="14"/>
        <v>#NAME?</v>
      </c>
      <c r="U30" s="46"/>
      <c r="V30" s="132" t="e">
        <f t="shared" si="15"/>
        <v>#NAME?</v>
      </c>
      <c r="W30" s="58" t="e">
        <f t="shared" si="16"/>
        <v>#NAME?</v>
      </c>
      <c r="Y30" s="46"/>
      <c r="Z30" s="46"/>
    </row>
    <row r="31" spans="1:26" ht="12.75">
      <c r="A31" s="52">
        <f ca="1" t="shared" si="7"/>
        <v>0.005418285361085473</v>
      </c>
      <c r="B31" s="48">
        <f t="shared" si="8"/>
        <v>-2.547925188446923</v>
      </c>
      <c r="D31" s="2">
        <v>11</v>
      </c>
      <c r="E31" s="35">
        <f t="shared" si="0"/>
        <v>0.21095890410958903</v>
      </c>
      <c r="F31" s="26">
        <f t="shared" si="9"/>
        <v>40.69969773863569</v>
      </c>
      <c r="G31" s="88" t="e">
        <f t="shared" si="10"/>
        <v>#NAME?</v>
      </c>
      <c r="H31" s="89" t="e">
        <f t="shared" si="11"/>
        <v>#NAME?</v>
      </c>
      <c r="I31" s="36" t="e">
        <f t="shared" si="1"/>
        <v>#NAME?</v>
      </c>
      <c r="J31" s="37" t="e">
        <f t="shared" si="2"/>
        <v>#NAME?</v>
      </c>
      <c r="K31" s="38" t="e">
        <f t="shared" si="3"/>
        <v>#NAME?</v>
      </c>
      <c r="L31" s="83" t="e">
        <f t="shared" si="12"/>
        <v>#NAME?</v>
      </c>
      <c r="M31" s="57" t="e">
        <f t="shared" si="17"/>
        <v>#NAME?</v>
      </c>
      <c r="N31" s="68" t="e">
        <f t="shared" si="18"/>
        <v>#NAME?</v>
      </c>
      <c r="O31" s="83" t="e">
        <f t="shared" si="13"/>
        <v>#NAME?</v>
      </c>
      <c r="P31" s="57" t="e">
        <f t="shared" si="19"/>
        <v>#NAME?</v>
      </c>
      <c r="Q31" s="68" t="e">
        <f t="shared" si="4"/>
        <v>#NAME?</v>
      </c>
      <c r="R31" s="57" t="e">
        <f t="shared" si="5"/>
        <v>#NAME?</v>
      </c>
      <c r="S31" s="57" t="e">
        <f t="shared" si="6"/>
        <v>#NAME?</v>
      </c>
      <c r="T31" s="58" t="e">
        <f t="shared" si="14"/>
        <v>#NAME?</v>
      </c>
      <c r="U31" s="46"/>
      <c r="V31" s="132" t="e">
        <f t="shared" si="15"/>
        <v>#NAME?</v>
      </c>
      <c r="W31" s="58" t="e">
        <f t="shared" si="16"/>
        <v>#NAME?</v>
      </c>
      <c r="Y31" s="46"/>
      <c r="Z31" s="46"/>
    </row>
    <row r="32" spans="1:26" ht="12.75">
      <c r="A32" s="52">
        <f ca="1" t="shared" si="7"/>
        <v>0.9103367329258214</v>
      </c>
      <c r="B32" s="48">
        <f t="shared" si="8"/>
        <v>1.3428315213086615</v>
      </c>
      <c r="D32" s="2">
        <v>12</v>
      </c>
      <c r="E32" s="35">
        <f t="shared" si="0"/>
        <v>0.23013698630136986</v>
      </c>
      <c r="F32" s="26">
        <f t="shared" si="9"/>
        <v>43.03893384445038</v>
      </c>
      <c r="G32" s="88" t="e">
        <f t="shared" si="10"/>
        <v>#NAME?</v>
      </c>
      <c r="H32" s="89" t="e">
        <f t="shared" si="11"/>
        <v>#NAME?</v>
      </c>
      <c r="I32" s="36" t="e">
        <f t="shared" si="1"/>
        <v>#NAME?</v>
      </c>
      <c r="J32" s="37" t="e">
        <f t="shared" si="2"/>
        <v>#NAME?</v>
      </c>
      <c r="K32" s="38" t="e">
        <f t="shared" si="3"/>
        <v>#NAME?</v>
      </c>
      <c r="L32" s="83" t="e">
        <f t="shared" si="12"/>
        <v>#NAME?</v>
      </c>
      <c r="M32" s="57" t="e">
        <f t="shared" si="17"/>
        <v>#NAME?</v>
      </c>
      <c r="N32" s="68" t="e">
        <f t="shared" si="18"/>
        <v>#NAME?</v>
      </c>
      <c r="O32" s="83" t="e">
        <f t="shared" si="13"/>
        <v>#NAME?</v>
      </c>
      <c r="P32" s="57" t="e">
        <f t="shared" si="19"/>
        <v>#NAME?</v>
      </c>
      <c r="Q32" s="68" t="e">
        <f t="shared" si="4"/>
        <v>#NAME?</v>
      </c>
      <c r="R32" s="57" t="e">
        <f t="shared" si="5"/>
        <v>#NAME?</v>
      </c>
      <c r="S32" s="57" t="e">
        <f t="shared" si="6"/>
        <v>#NAME?</v>
      </c>
      <c r="T32" s="58" t="e">
        <f t="shared" si="14"/>
        <v>#NAME?</v>
      </c>
      <c r="U32" s="46"/>
      <c r="V32" s="132" t="e">
        <f t="shared" si="15"/>
        <v>#NAME?</v>
      </c>
      <c r="W32" s="58" t="e">
        <f t="shared" si="16"/>
        <v>#NAME?</v>
      </c>
      <c r="Y32" s="46"/>
      <c r="Z32" s="46"/>
    </row>
    <row r="33" spans="1:26" ht="12.75">
      <c r="A33" s="52">
        <f ca="1" t="shared" si="7"/>
        <v>0.7122752251144115</v>
      </c>
      <c r="B33" s="48">
        <f t="shared" si="8"/>
        <v>0.5600438185935519</v>
      </c>
      <c r="D33" s="2">
        <v>13</v>
      </c>
      <c r="E33" s="35">
        <f t="shared" si="0"/>
        <v>0.2493150684931507</v>
      </c>
      <c r="F33" s="26">
        <f t="shared" si="9"/>
        <v>44.05629849295433</v>
      </c>
      <c r="G33" s="88" t="e">
        <f t="shared" si="10"/>
        <v>#NAME?</v>
      </c>
      <c r="H33" s="89" t="e">
        <f t="shared" si="11"/>
        <v>#NAME?</v>
      </c>
      <c r="I33" s="36" t="e">
        <f t="shared" si="1"/>
        <v>#NAME?</v>
      </c>
      <c r="J33" s="37" t="e">
        <f t="shared" si="2"/>
        <v>#NAME?</v>
      </c>
      <c r="K33" s="38" t="e">
        <f t="shared" si="3"/>
        <v>#NAME?</v>
      </c>
      <c r="L33" s="83" t="e">
        <f t="shared" si="12"/>
        <v>#NAME?</v>
      </c>
      <c r="M33" s="57" t="e">
        <f t="shared" si="17"/>
        <v>#NAME?</v>
      </c>
      <c r="N33" s="68" t="e">
        <f t="shared" si="18"/>
        <v>#NAME?</v>
      </c>
      <c r="O33" s="83" t="e">
        <f t="shared" si="13"/>
        <v>#NAME?</v>
      </c>
      <c r="P33" s="57" t="e">
        <f t="shared" si="19"/>
        <v>#NAME?</v>
      </c>
      <c r="Q33" s="68" t="e">
        <f t="shared" si="4"/>
        <v>#NAME?</v>
      </c>
      <c r="R33" s="57" t="e">
        <f t="shared" si="5"/>
        <v>#NAME?</v>
      </c>
      <c r="S33" s="57" t="e">
        <f t="shared" si="6"/>
        <v>#NAME?</v>
      </c>
      <c r="T33" s="58" t="e">
        <f t="shared" si="14"/>
        <v>#NAME?</v>
      </c>
      <c r="U33" s="46"/>
      <c r="V33" s="132" t="e">
        <f t="shared" si="15"/>
        <v>#NAME?</v>
      </c>
      <c r="W33" s="58" t="e">
        <f t="shared" si="16"/>
        <v>#NAME?</v>
      </c>
      <c r="Y33" s="46"/>
      <c r="Z33" s="46"/>
    </row>
    <row r="34" spans="1:26" ht="12.75">
      <c r="A34" s="52">
        <f ca="1" t="shared" si="7"/>
        <v>0.0005384859914289091</v>
      </c>
      <c r="B34" s="48">
        <f t="shared" si="8"/>
        <v>-3.269606471309639</v>
      </c>
      <c r="D34" s="2">
        <v>14</v>
      </c>
      <c r="E34" s="35">
        <f t="shared" si="0"/>
        <v>0.2684931506849315</v>
      </c>
      <c r="F34" s="26">
        <f t="shared" si="9"/>
        <v>38.46415728908439</v>
      </c>
      <c r="G34" s="88" t="e">
        <f t="shared" si="10"/>
        <v>#NAME?</v>
      </c>
      <c r="H34" s="89" t="e">
        <f t="shared" si="11"/>
        <v>#NAME?</v>
      </c>
      <c r="I34" s="36" t="e">
        <f t="shared" si="1"/>
        <v>#NAME?</v>
      </c>
      <c r="J34" s="37" t="e">
        <f t="shared" si="2"/>
        <v>#NAME?</v>
      </c>
      <c r="K34" s="38" t="e">
        <f t="shared" si="3"/>
        <v>#NAME?</v>
      </c>
      <c r="L34" s="83" t="e">
        <f t="shared" si="12"/>
        <v>#NAME?</v>
      </c>
      <c r="M34" s="57" t="e">
        <f t="shared" si="17"/>
        <v>#NAME?</v>
      </c>
      <c r="N34" s="68" t="e">
        <f t="shared" si="18"/>
        <v>#NAME?</v>
      </c>
      <c r="O34" s="83" t="e">
        <f t="shared" si="13"/>
        <v>#NAME?</v>
      </c>
      <c r="P34" s="57" t="e">
        <f t="shared" si="19"/>
        <v>#NAME?</v>
      </c>
      <c r="Q34" s="68" t="e">
        <f t="shared" si="4"/>
        <v>#NAME?</v>
      </c>
      <c r="R34" s="57" t="e">
        <f t="shared" si="5"/>
        <v>#NAME?</v>
      </c>
      <c r="S34" s="57" t="e">
        <f t="shared" si="6"/>
        <v>#NAME?</v>
      </c>
      <c r="T34" s="58" t="e">
        <f t="shared" si="14"/>
        <v>#NAME?</v>
      </c>
      <c r="U34" s="46"/>
      <c r="V34" s="132" t="e">
        <f t="shared" si="15"/>
        <v>#NAME?</v>
      </c>
      <c r="W34" s="58" t="e">
        <f t="shared" si="16"/>
        <v>#NAME?</v>
      </c>
      <c r="Y34" s="46"/>
      <c r="Z34" s="46"/>
    </row>
    <row r="35" spans="1:26" ht="12.75">
      <c r="A35" s="52">
        <f ca="1" t="shared" si="7"/>
        <v>0.5876359657537213</v>
      </c>
      <c r="B35" s="48">
        <f t="shared" si="8"/>
        <v>0.22146797660296746</v>
      </c>
      <c r="D35" s="2">
        <v>15</v>
      </c>
      <c r="E35" s="35">
        <f t="shared" si="0"/>
        <v>0.2876712328767123</v>
      </c>
      <c r="F35" s="26">
        <f t="shared" si="9"/>
        <v>38.82342157183866</v>
      </c>
      <c r="G35" s="88" t="e">
        <f t="shared" si="10"/>
        <v>#NAME?</v>
      </c>
      <c r="H35" s="89" t="e">
        <f t="shared" si="11"/>
        <v>#NAME?</v>
      </c>
      <c r="I35" s="36" t="e">
        <f t="shared" si="1"/>
        <v>#NAME?</v>
      </c>
      <c r="J35" s="37" t="e">
        <f t="shared" si="2"/>
        <v>#NAME?</v>
      </c>
      <c r="K35" s="38" t="e">
        <f t="shared" si="3"/>
        <v>#NAME?</v>
      </c>
      <c r="L35" s="83" t="e">
        <f t="shared" si="12"/>
        <v>#NAME?</v>
      </c>
      <c r="M35" s="57" t="e">
        <f t="shared" si="17"/>
        <v>#NAME?</v>
      </c>
      <c r="N35" s="68" t="e">
        <f t="shared" si="18"/>
        <v>#NAME?</v>
      </c>
      <c r="O35" s="83" t="e">
        <f t="shared" si="13"/>
        <v>#NAME?</v>
      </c>
      <c r="P35" s="57" t="e">
        <f t="shared" si="19"/>
        <v>#NAME?</v>
      </c>
      <c r="Q35" s="68" t="e">
        <f t="shared" si="4"/>
        <v>#NAME?</v>
      </c>
      <c r="R35" s="57" t="e">
        <f t="shared" si="5"/>
        <v>#NAME?</v>
      </c>
      <c r="S35" s="57" t="e">
        <f t="shared" si="6"/>
        <v>#NAME?</v>
      </c>
      <c r="T35" s="58" t="e">
        <f t="shared" si="14"/>
        <v>#NAME?</v>
      </c>
      <c r="U35" s="46"/>
      <c r="V35" s="132" t="e">
        <f t="shared" si="15"/>
        <v>#NAME?</v>
      </c>
      <c r="W35" s="58" t="e">
        <f t="shared" si="16"/>
        <v>#NAME?</v>
      </c>
      <c r="Y35" s="46"/>
      <c r="Z35" s="46"/>
    </row>
    <row r="36" spans="1:26" ht="12.75">
      <c r="A36" s="52">
        <f ca="1" t="shared" si="7"/>
        <v>0.06175947504780514</v>
      </c>
      <c r="B36" s="48">
        <f t="shared" si="8"/>
        <v>-1.5401698784914726</v>
      </c>
      <c r="D36" s="2">
        <v>16</v>
      </c>
      <c r="E36" s="35">
        <f t="shared" si="0"/>
        <v>0.30684931506849317</v>
      </c>
      <c r="F36" s="26">
        <f t="shared" si="9"/>
        <v>36.42052530519759</v>
      </c>
      <c r="G36" s="88" t="e">
        <f t="shared" si="10"/>
        <v>#NAME?</v>
      </c>
      <c r="H36" s="89" t="e">
        <f t="shared" si="11"/>
        <v>#NAME?</v>
      </c>
      <c r="I36" s="36" t="e">
        <f t="shared" si="1"/>
        <v>#NAME?</v>
      </c>
      <c r="J36" s="37" t="e">
        <f t="shared" si="2"/>
        <v>#NAME?</v>
      </c>
      <c r="K36" s="38" t="e">
        <f t="shared" si="3"/>
        <v>#NAME?</v>
      </c>
      <c r="L36" s="83" t="e">
        <f t="shared" si="12"/>
        <v>#NAME?</v>
      </c>
      <c r="M36" s="57" t="e">
        <f t="shared" si="17"/>
        <v>#NAME?</v>
      </c>
      <c r="N36" s="68" t="e">
        <f t="shared" si="18"/>
        <v>#NAME?</v>
      </c>
      <c r="O36" s="83" t="e">
        <f t="shared" si="13"/>
        <v>#NAME?</v>
      </c>
      <c r="P36" s="57" t="e">
        <f t="shared" si="19"/>
        <v>#NAME?</v>
      </c>
      <c r="Q36" s="68" t="e">
        <f t="shared" si="4"/>
        <v>#NAME?</v>
      </c>
      <c r="R36" s="57" t="e">
        <f t="shared" si="5"/>
        <v>#NAME?</v>
      </c>
      <c r="S36" s="57" t="e">
        <f t="shared" si="6"/>
        <v>#NAME?</v>
      </c>
      <c r="T36" s="58" t="e">
        <f t="shared" si="14"/>
        <v>#NAME?</v>
      </c>
      <c r="U36" s="46"/>
      <c r="V36" s="132" t="e">
        <f t="shared" si="15"/>
        <v>#NAME?</v>
      </c>
      <c r="W36" s="58" t="e">
        <f t="shared" si="16"/>
        <v>#NAME?</v>
      </c>
      <c r="Y36" s="46"/>
      <c r="Z36" s="46"/>
    </row>
    <row r="37" spans="1:26" ht="12.75">
      <c r="A37" s="52">
        <f ca="1" t="shared" si="7"/>
        <v>0.4113399755801869</v>
      </c>
      <c r="B37" s="48">
        <f t="shared" si="8"/>
        <v>-0.2240994105129664</v>
      </c>
      <c r="D37" s="2">
        <v>17</v>
      </c>
      <c r="E37" s="35">
        <f t="shared" si="0"/>
        <v>0.32602739726027397</v>
      </c>
      <c r="F37" s="26">
        <f t="shared" si="9"/>
        <v>36.08647239628904</v>
      </c>
      <c r="G37" s="88" t="e">
        <f t="shared" si="10"/>
        <v>#NAME?</v>
      </c>
      <c r="H37" s="89" t="e">
        <f t="shared" si="11"/>
        <v>#NAME?</v>
      </c>
      <c r="I37" s="36" t="e">
        <f t="shared" si="1"/>
        <v>#NAME?</v>
      </c>
      <c r="J37" s="37" t="e">
        <f t="shared" si="2"/>
        <v>#NAME?</v>
      </c>
      <c r="K37" s="38" t="e">
        <f t="shared" si="3"/>
        <v>#NAME?</v>
      </c>
      <c r="L37" s="83" t="e">
        <f t="shared" si="12"/>
        <v>#NAME?</v>
      </c>
      <c r="M37" s="57" t="e">
        <f t="shared" si="17"/>
        <v>#NAME?</v>
      </c>
      <c r="N37" s="68" t="e">
        <f t="shared" si="18"/>
        <v>#NAME?</v>
      </c>
      <c r="O37" s="83" t="e">
        <f t="shared" si="13"/>
        <v>#NAME?</v>
      </c>
      <c r="P37" s="57" t="e">
        <f t="shared" si="19"/>
        <v>#NAME?</v>
      </c>
      <c r="Q37" s="68" t="e">
        <f t="shared" si="4"/>
        <v>#NAME?</v>
      </c>
      <c r="R37" s="57" t="e">
        <f t="shared" si="5"/>
        <v>#NAME?</v>
      </c>
      <c r="S37" s="57" t="e">
        <f t="shared" si="6"/>
        <v>#NAME?</v>
      </c>
      <c r="T37" s="58" t="e">
        <f t="shared" si="14"/>
        <v>#NAME?</v>
      </c>
      <c r="U37" s="46"/>
      <c r="V37" s="132" t="e">
        <f t="shared" si="15"/>
        <v>#NAME?</v>
      </c>
      <c r="W37" s="58" t="e">
        <f t="shared" si="16"/>
        <v>#NAME?</v>
      </c>
      <c r="Y37" s="46"/>
      <c r="Z37" s="46"/>
    </row>
    <row r="38" spans="1:26" ht="12.75">
      <c r="A38" s="52">
        <f ca="1" t="shared" si="7"/>
        <v>0.8411145412383084</v>
      </c>
      <c r="B38" s="48">
        <f t="shared" si="8"/>
        <v>0.9990490774070397</v>
      </c>
      <c r="D38" s="2">
        <v>18</v>
      </c>
      <c r="E38" s="35">
        <f t="shared" si="0"/>
        <v>0.3452054794520548</v>
      </c>
      <c r="F38" s="26">
        <f t="shared" si="9"/>
        <v>37.619402415822755</v>
      </c>
      <c r="G38" s="88" t="e">
        <f t="shared" si="10"/>
        <v>#NAME?</v>
      </c>
      <c r="H38" s="89" t="e">
        <f t="shared" si="11"/>
        <v>#NAME?</v>
      </c>
      <c r="I38" s="36" t="e">
        <f t="shared" si="1"/>
        <v>#NAME?</v>
      </c>
      <c r="J38" s="37" t="e">
        <f t="shared" si="2"/>
        <v>#NAME?</v>
      </c>
      <c r="K38" s="38" t="e">
        <f t="shared" si="3"/>
        <v>#NAME?</v>
      </c>
      <c r="L38" s="83" t="e">
        <f t="shared" si="12"/>
        <v>#NAME?</v>
      </c>
      <c r="M38" s="57" t="e">
        <f t="shared" si="17"/>
        <v>#NAME?</v>
      </c>
      <c r="N38" s="68" t="e">
        <f t="shared" si="18"/>
        <v>#NAME?</v>
      </c>
      <c r="O38" s="83" t="e">
        <f t="shared" si="13"/>
        <v>#NAME?</v>
      </c>
      <c r="P38" s="57" t="e">
        <f t="shared" si="19"/>
        <v>#NAME?</v>
      </c>
      <c r="Q38" s="68" t="e">
        <f t="shared" si="4"/>
        <v>#NAME?</v>
      </c>
      <c r="R38" s="57" t="e">
        <f t="shared" si="5"/>
        <v>#NAME?</v>
      </c>
      <c r="S38" s="57" t="e">
        <f t="shared" si="6"/>
        <v>#NAME?</v>
      </c>
      <c r="T38" s="58" t="e">
        <f t="shared" si="14"/>
        <v>#NAME?</v>
      </c>
      <c r="U38" s="46"/>
      <c r="V38" s="132" t="e">
        <f t="shared" si="15"/>
        <v>#NAME?</v>
      </c>
      <c r="W38" s="58" t="e">
        <f t="shared" si="16"/>
        <v>#NAME?</v>
      </c>
      <c r="Y38" s="46"/>
      <c r="Z38" s="46"/>
    </row>
    <row r="39" spans="1:26" ht="12.75">
      <c r="A39" s="52">
        <f ca="1" t="shared" si="7"/>
        <v>0.3809248046803688</v>
      </c>
      <c r="B39" s="48">
        <f t="shared" si="8"/>
        <v>-0.3030528189187077</v>
      </c>
      <c r="D39" s="2">
        <v>19</v>
      </c>
      <c r="E39" s="35">
        <f t="shared" si="0"/>
        <v>0.3643835616438356</v>
      </c>
      <c r="F39" s="26">
        <f t="shared" si="9"/>
        <v>37.15228782825161</v>
      </c>
      <c r="G39" s="88" t="e">
        <f t="shared" si="10"/>
        <v>#NAME?</v>
      </c>
      <c r="H39" s="89" t="e">
        <f t="shared" si="11"/>
        <v>#NAME?</v>
      </c>
      <c r="I39" s="36" t="e">
        <f t="shared" si="1"/>
        <v>#NAME?</v>
      </c>
      <c r="J39" s="37" t="e">
        <f t="shared" si="2"/>
        <v>#NAME?</v>
      </c>
      <c r="K39" s="38" t="e">
        <f t="shared" si="3"/>
        <v>#NAME?</v>
      </c>
      <c r="L39" s="83" t="e">
        <f t="shared" si="12"/>
        <v>#NAME?</v>
      </c>
      <c r="M39" s="57" t="e">
        <f t="shared" si="17"/>
        <v>#NAME?</v>
      </c>
      <c r="N39" s="68" t="e">
        <f t="shared" si="18"/>
        <v>#NAME?</v>
      </c>
      <c r="O39" s="83" t="e">
        <f t="shared" si="13"/>
        <v>#NAME?</v>
      </c>
      <c r="P39" s="57" t="e">
        <f t="shared" si="19"/>
        <v>#NAME?</v>
      </c>
      <c r="Q39" s="68" t="e">
        <f t="shared" si="4"/>
        <v>#NAME?</v>
      </c>
      <c r="R39" s="57" t="e">
        <f t="shared" si="5"/>
        <v>#NAME?</v>
      </c>
      <c r="S39" s="57" t="e">
        <f t="shared" si="6"/>
        <v>#NAME?</v>
      </c>
      <c r="T39" s="58" t="e">
        <f t="shared" si="14"/>
        <v>#NAME?</v>
      </c>
      <c r="U39" s="46"/>
      <c r="V39" s="132" t="e">
        <f t="shared" si="15"/>
        <v>#NAME?</v>
      </c>
      <c r="W39" s="58" t="e">
        <f t="shared" si="16"/>
        <v>#NAME?</v>
      </c>
      <c r="Y39" s="46"/>
      <c r="Z39" s="46"/>
    </row>
    <row r="40" spans="1:26" ht="13.5" thickBot="1">
      <c r="A40" s="53">
        <f ca="1" t="shared" si="7"/>
        <v>0.9981556641942465</v>
      </c>
      <c r="B40" s="49">
        <f t="shared" si="8"/>
        <v>2.9036271449246556</v>
      </c>
      <c r="D40" s="2">
        <v>20</v>
      </c>
      <c r="E40" s="35">
        <f>D40*7/365-0.0001</f>
        <v>0.38346164383561643</v>
      </c>
      <c r="F40" s="27">
        <f t="shared" si="9"/>
        <v>41.90639440130446</v>
      </c>
      <c r="G40" s="90" t="e">
        <f t="shared" si="10"/>
        <v>#NAME?</v>
      </c>
      <c r="H40" s="91" t="e">
        <f t="shared" si="11"/>
        <v>#NAME?</v>
      </c>
      <c r="I40" s="84" t="e">
        <f t="shared" si="1"/>
        <v>#NAME?</v>
      </c>
      <c r="J40" s="63" t="e">
        <f t="shared" si="2"/>
        <v>#NAME?</v>
      </c>
      <c r="K40" s="85" t="e">
        <f t="shared" si="3"/>
        <v>#NAME?</v>
      </c>
      <c r="L40" s="86" t="e">
        <f t="shared" si="12"/>
        <v>#NAME?</v>
      </c>
      <c r="M40" s="64" t="e">
        <f t="shared" si="17"/>
        <v>#NAME?</v>
      </c>
      <c r="N40" s="87" t="e">
        <f t="shared" si="18"/>
        <v>#NAME?</v>
      </c>
      <c r="O40" s="86" t="e">
        <f t="shared" si="13"/>
        <v>#NAME?</v>
      </c>
      <c r="P40" s="64" t="e">
        <f t="shared" si="19"/>
        <v>#NAME?</v>
      </c>
      <c r="Q40" s="87" t="e">
        <f t="shared" si="4"/>
        <v>#NAME?</v>
      </c>
      <c r="R40" s="64" t="e">
        <f t="shared" si="5"/>
        <v>#NAME?</v>
      </c>
      <c r="S40" s="64"/>
      <c r="T40" s="65" t="e">
        <f t="shared" si="14"/>
        <v>#NAME?</v>
      </c>
      <c r="U40" s="46"/>
      <c r="V40" s="134" t="e">
        <f t="shared" si="15"/>
        <v>#NAME?</v>
      </c>
      <c r="W40" s="135" t="e">
        <f t="shared" si="16"/>
        <v>#NAME?</v>
      </c>
      <c r="Y40" s="46"/>
      <c r="Z40" s="46"/>
    </row>
    <row r="41" spans="20:23" ht="13.5" thickBot="1">
      <c r="T41" s="129" t="e">
        <f>T40-O40*F40</f>
        <v>#NAME?</v>
      </c>
      <c r="V41" s="133" t="e">
        <f>SUM(V20:V40)</f>
        <v>#NAME?</v>
      </c>
      <c r="W41" s="65" t="e">
        <f>SUM(W20:W40)</f>
        <v>#NAME?</v>
      </c>
    </row>
    <row r="42" ht="13.5" thickBot="1"/>
    <row r="43" spans="6:20" ht="13.5" thickBot="1">
      <c r="F43" s="203" t="s">
        <v>58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2"/>
    </row>
    <row r="44" spans="6:23" ht="13.5" thickBot="1">
      <c r="F44" s="1"/>
      <c r="G44" s="199" t="s">
        <v>70</v>
      </c>
      <c r="H44" s="201"/>
      <c r="I44" s="199" t="s">
        <v>71</v>
      </c>
      <c r="J44" s="200"/>
      <c r="K44" s="201"/>
      <c r="L44" s="199" t="s">
        <v>77</v>
      </c>
      <c r="M44" s="200"/>
      <c r="N44" s="201"/>
      <c r="O44" s="199" t="s">
        <v>78</v>
      </c>
      <c r="P44" s="200"/>
      <c r="Q44" s="201"/>
      <c r="R44" s="29"/>
      <c r="S44" s="29"/>
      <c r="T44" s="11"/>
      <c r="V44" s="191" t="s">
        <v>80</v>
      </c>
      <c r="W44" s="192"/>
    </row>
    <row r="45" spans="4:23" ht="25.5" customHeight="1" thickBot="1">
      <c r="D45" s="54" t="s">
        <v>49</v>
      </c>
      <c r="E45" s="54" t="s">
        <v>30</v>
      </c>
      <c r="F45" s="59" t="s">
        <v>5</v>
      </c>
      <c r="G45" s="81" t="s">
        <v>50</v>
      </c>
      <c r="H45" s="82" t="s">
        <v>69</v>
      </c>
      <c r="I45" s="81" t="s">
        <v>73</v>
      </c>
      <c r="J45" s="60" t="s">
        <v>50</v>
      </c>
      <c r="K45" s="82" t="s">
        <v>69</v>
      </c>
      <c r="L45" s="81" t="s">
        <v>74</v>
      </c>
      <c r="M45" s="60" t="s">
        <v>72</v>
      </c>
      <c r="N45" s="82" t="s">
        <v>53</v>
      </c>
      <c r="O45" s="81" t="s">
        <v>76</v>
      </c>
      <c r="P45" s="60" t="s">
        <v>51</v>
      </c>
      <c r="Q45" s="82" t="s">
        <v>53</v>
      </c>
      <c r="R45" s="60" t="s">
        <v>75</v>
      </c>
      <c r="S45" s="60" t="s">
        <v>55</v>
      </c>
      <c r="T45" s="61" t="s">
        <v>54</v>
      </c>
      <c r="V45" s="136" t="s">
        <v>81</v>
      </c>
      <c r="W45" s="137" t="s">
        <v>82</v>
      </c>
    </row>
    <row r="46" spans="4:23" ht="13.5" thickTop="1">
      <c r="D46" s="80">
        <f>D20</f>
        <v>0</v>
      </c>
      <c r="E46" s="35">
        <f>E20</f>
        <v>0</v>
      </c>
      <c r="F46" s="26">
        <f>C8</f>
        <v>49</v>
      </c>
      <c r="G46" s="88">
        <f>BinaryOption(F46,$G$8,$C$9,0,$C$10,$G$10-E46,$G$11,FALSE,,$G$12,1)*$G$9</f>
        <v>2581.593644465652</v>
      </c>
      <c r="H46" s="89">
        <f>BinaryOption(F46,$G$8,$C$9,0,$C$10,$G$10-E46,$G$11,FALSE,,$G$12,2)*$G$9</f>
        <v>72.44408199800846</v>
      </c>
      <c r="I46" s="36">
        <f aca="true" t="shared" si="20" ref="I46:I66">Black_Scholes(F46,$J$8,$C$9,0,$C$10,$J$9-E46,$J$10,FALSE,,0)</f>
        <v>2.4010226574005915</v>
      </c>
      <c r="J46" s="37">
        <f aca="true" t="shared" si="21" ref="J46:J66">Black_Scholes(F46,$J$8,$C$9,0,$C$10,$J$9-E46,$J$10,FALSE,,1)</f>
        <v>0.3742508549144174</v>
      </c>
      <c r="K46" s="38">
        <f aca="true" t="shared" si="22" ref="K46:K66">Black_Scholes(F46,$J$8,$C$9,0,$C$10,$J$9-E46,$J$10,FALSE,,2)</f>
        <v>0.0364574413102299</v>
      </c>
      <c r="L46" s="83">
        <f>H46/K46</f>
        <v>1987.0862955399114</v>
      </c>
      <c r="M46" s="57">
        <f>L46</f>
        <v>1987.0862955399114</v>
      </c>
      <c r="N46" s="68">
        <f>M46*I46</f>
        <v>4771.039217801535</v>
      </c>
      <c r="O46" s="83">
        <f>G46-J46*L46</f>
        <v>1837.9248995711173</v>
      </c>
      <c r="P46" s="57">
        <f>O46</f>
        <v>1837.9248995711173</v>
      </c>
      <c r="Q46" s="68">
        <f aca="true" t="shared" si="23" ref="Q46:Q66">P46*F46</f>
        <v>90058.32007898475</v>
      </c>
      <c r="R46" s="57">
        <f aca="true" t="shared" si="24" ref="R46:R66">N46+Q46</f>
        <v>94829.35929678628</v>
      </c>
      <c r="S46" s="57">
        <f aca="true" t="shared" si="25" ref="S46:S65">(EXP($C$9*(E47-E46))-1)*T46</f>
        <v>90.9758739380737</v>
      </c>
      <c r="T46" s="58">
        <f>R46</f>
        <v>94829.35929678628</v>
      </c>
      <c r="V46" s="130">
        <f>ABS(M46)</f>
        <v>1987.0862955399114</v>
      </c>
      <c r="W46" s="131">
        <f>ABS(P46)</f>
        <v>1837.9248995711173</v>
      </c>
    </row>
    <row r="47" spans="4:23" ht="12.75">
      <c r="D47" s="80">
        <f aca="true" t="shared" si="26" ref="D47:E66">D21</f>
        <v>1</v>
      </c>
      <c r="E47" s="35">
        <f t="shared" si="26"/>
        <v>0.019178082191780823</v>
      </c>
      <c r="F47" s="26">
        <f aca="true" t="shared" si="27" ref="F47:F66">F46*EXP(($C$9-0.5*$C$10*$C$10)*(E21-E20)-$C$10*B21*SQRT(E21-E20))</f>
        <v>46.769847991957064</v>
      </c>
      <c r="G47" s="88" t="e">
        <f aca="true" t="shared" si="28" ref="G47:G66">BinaryOption(F47,$G$8,$C$9,0,$C$10,$G$10-E47,$G$11,FALSE,,$G$12,1)*$G$9</f>
        <v>#NAME?</v>
      </c>
      <c r="H47" s="89" t="e">
        <f aca="true" t="shared" si="29" ref="H47:H66">BinaryOption(F47,$G$8,$C$9,0,$C$10,$G$10-E47,$G$11,FALSE,,$G$12,2)*$G$9</f>
        <v>#NAME?</v>
      </c>
      <c r="I47" s="36" t="e">
        <f t="shared" si="20"/>
        <v>#NAME?</v>
      </c>
      <c r="J47" s="37" t="e">
        <f t="shared" si="21"/>
        <v>#NAME?</v>
      </c>
      <c r="K47" s="38" t="e">
        <f t="shared" si="22"/>
        <v>#NAME?</v>
      </c>
      <c r="L47" s="83" t="e">
        <f aca="true" t="shared" si="30" ref="L47:L66">H47/K47</f>
        <v>#NAME?</v>
      </c>
      <c r="M47" s="57" t="e">
        <f>L47-L46</f>
        <v>#NAME?</v>
      </c>
      <c r="N47" s="68" t="e">
        <f>M47*I47</f>
        <v>#NAME?</v>
      </c>
      <c r="O47" s="83" t="e">
        <f aca="true" t="shared" si="31" ref="O47:O66">G47-J47*L47</f>
        <v>#NAME?</v>
      </c>
      <c r="P47" s="57" t="e">
        <f>O47-O46</f>
        <v>#NAME?</v>
      </c>
      <c r="Q47" s="68" t="e">
        <f t="shared" si="23"/>
        <v>#NAME?</v>
      </c>
      <c r="R47" s="57" t="e">
        <f t="shared" si="24"/>
        <v>#NAME?</v>
      </c>
      <c r="S47" s="57" t="e">
        <f t="shared" si="25"/>
        <v>#NAME?</v>
      </c>
      <c r="T47" s="58" t="e">
        <f aca="true" t="shared" si="32" ref="T47:T66">T46+S46+Q47</f>
        <v>#NAME?</v>
      </c>
      <c r="V47" s="132" t="e">
        <f aca="true" t="shared" si="33" ref="V47:V66">ABS(M47)</f>
        <v>#NAME?</v>
      </c>
      <c r="W47" s="58" t="e">
        <f aca="true" t="shared" si="34" ref="W47:W66">ABS(P47)</f>
        <v>#NAME?</v>
      </c>
    </row>
    <row r="48" spans="4:23" ht="12.75">
      <c r="D48" s="80">
        <f t="shared" si="26"/>
        <v>2</v>
      </c>
      <c r="E48" s="35">
        <f t="shared" si="26"/>
        <v>0.038356164383561646</v>
      </c>
      <c r="F48" s="26">
        <f t="shared" si="27"/>
        <v>47.18469895210318</v>
      </c>
      <c r="G48" s="88" t="e">
        <f t="shared" si="28"/>
        <v>#NAME?</v>
      </c>
      <c r="H48" s="89" t="e">
        <f t="shared" si="29"/>
        <v>#NAME?</v>
      </c>
      <c r="I48" s="36" t="e">
        <f t="shared" si="20"/>
        <v>#NAME?</v>
      </c>
      <c r="J48" s="37" t="e">
        <f t="shared" si="21"/>
        <v>#NAME?</v>
      </c>
      <c r="K48" s="38" t="e">
        <f t="shared" si="22"/>
        <v>#NAME?</v>
      </c>
      <c r="L48" s="83" t="e">
        <f t="shared" si="30"/>
        <v>#NAME?</v>
      </c>
      <c r="M48" s="57" t="e">
        <f aca="true" t="shared" si="35" ref="M48:M66">L48-L47</f>
        <v>#NAME?</v>
      </c>
      <c r="N48" s="68" t="e">
        <f aca="true" t="shared" si="36" ref="N48:N66">M48*I48</f>
        <v>#NAME?</v>
      </c>
      <c r="O48" s="83" t="e">
        <f t="shared" si="31"/>
        <v>#NAME?</v>
      </c>
      <c r="P48" s="57" t="e">
        <f aca="true" t="shared" si="37" ref="P48:P66">O48-O47</f>
        <v>#NAME?</v>
      </c>
      <c r="Q48" s="68" t="e">
        <f t="shared" si="23"/>
        <v>#NAME?</v>
      </c>
      <c r="R48" s="57" t="e">
        <f t="shared" si="24"/>
        <v>#NAME?</v>
      </c>
      <c r="S48" s="57" t="e">
        <f t="shared" si="25"/>
        <v>#NAME?</v>
      </c>
      <c r="T48" s="58" t="e">
        <f t="shared" si="32"/>
        <v>#NAME?</v>
      </c>
      <c r="V48" s="132" t="e">
        <f t="shared" si="33"/>
        <v>#NAME?</v>
      </c>
      <c r="W48" s="58" t="e">
        <f t="shared" si="34"/>
        <v>#NAME?</v>
      </c>
    </row>
    <row r="49" spans="4:23" ht="12.75">
      <c r="D49" s="80">
        <f t="shared" si="26"/>
        <v>3</v>
      </c>
      <c r="E49" s="35">
        <f t="shared" si="26"/>
        <v>0.057534246575342465</v>
      </c>
      <c r="F49" s="26">
        <f t="shared" si="27"/>
        <v>43.70245299276253</v>
      </c>
      <c r="G49" s="88" t="e">
        <f t="shared" si="28"/>
        <v>#NAME?</v>
      </c>
      <c r="H49" s="89" t="e">
        <f t="shared" si="29"/>
        <v>#NAME?</v>
      </c>
      <c r="I49" s="36" t="e">
        <f t="shared" si="20"/>
        <v>#NAME?</v>
      </c>
      <c r="J49" s="37" t="e">
        <f t="shared" si="21"/>
        <v>#NAME?</v>
      </c>
      <c r="K49" s="38" t="e">
        <f t="shared" si="22"/>
        <v>#NAME?</v>
      </c>
      <c r="L49" s="83" t="e">
        <f t="shared" si="30"/>
        <v>#NAME?</v>
      </c>
      <c r="M49" s="57" t="e">
        <f t="shared" si="35"/>
        <v>#NAME?</v>
      </c>
      <c r="N49" s="68" t="e">
        <f t="shared" si="36"/>
        <v>#NAME?</v>
      </c>
      <c r="O49" s="83" t="e">
        <f t="shared" si="31"/>
        <v>#NAME?</v>
      </c>
      <c r="P49" s="57" t="e">
        <f t="shared" si="37"/>
        <v>#NAME?</v>
      </c>
      <c r="Q49" s="68" t="e">
        <f t="shared" si="23"/>
        <v>#NAME?</v>
      </c>
      <c r="R49" s="57" t="e">
        <f t="shared" si="24"/>
        <v>#NAME?</v>
      </c>
      <c r="S49" s="57" t="e">
        <f t="shared" si="25"/>
        <v>#NAME?</v>
      </c>
      <c r="T49" s="58" t="e">
        <f t="shared" si="32"/>
        <v>#NAME?</v>
      </c>
      <c r="V49" s="132" t="e">
        <f t="shared" si="33"/>
        <v>#NAME?</v>
      </c>
      <c r="W49" s="58" t="e">
        <f t="shared" si="34"/>
        <v>#NAME?</v>
      </c>
    </row>
    <row r="50" spans="4:23" ht="12.75">
      <c r="D50" s="80">
        <f t="shared" si="26"/>
        <v>4</v>
      </c>
      <c r="E50" s="35">
        <f t="shared" si="26"/>
        <v>0.07671232876712329</v>
      </c>
      <c r="F50" s="26">
        <f t="shared" si="27"/>
        <v>47.58246480985407</v>
      </c>
      <c r="G50" s="88" t="e">
        <f t="shared" si="28"/>
        <v>#NAME?</v>
      </c>
      <c r="H50" s="89" t="e">
        <f t="shared" si="29"/>
        <v>#NAME?</v>
      </c>
      <c r="I50" s="36" t="e">
        <f t="shared" si="20"/>
        <v>#NAME?</v>
      </c>
      <c r="J50" s="37" t="e">
        <f t="shared" si="21"/>
        <v>#NAME?</v>
      </c>
      <c r="K50" s="38" t="e">
        <f t="shared" si="22"/>
        <v>#NAME?</v>
      </c>
      <c r="L50" s="83" t="e">
        <f t="shared" si="30"/>
        <v>#NAME?</v>
      </c>
      <c r="M50" s="57" t="e">
        <f t="shared" si="35"/>
        <v>#NAME?</v>
      </c>
      <c r="N50" s="68" t="e">
        <f t="shared" si="36"/>
        <v>#NAME?</v>
      </c>
      <c r="O50" s="83" t="e">
        <f t="shared" si="31"/>
        <v>#NAME?</v>
      </c>
      <c r="P50" s="57" t="e">
        <f t="shared" si="37"/>
        <v>#NAME?</v>
      </c>
      <c r="Q50" s="68" t="e">
        <f t="shared" si="23"/>
        <v>#NAME?</v>
      </c>
      <c r="R50" s="57" t="e">
        <f t="shared" si="24"/>
        <v>#NAME?</v>
      </c>
      <c r="S50" s="57" t="e">
        <f t="shared" si="25"/>
        <v>#NAME?</v>
      </c>
      <c r="T50" s="58" t="e">
        <f t="shared" si="32"/>
        <v>#NAME?</v>
      </c>
      <c r="V50" s="132" t="e">
        <f t="shared" si="33"/>
        <v>#NAME?</v>
      </c>
      <c r="W50" s="58" t="e">
        <f t="shared" si="34"/>
        <v>#NAME?</v>
      </c>
    </row>
    <row r="51" spans="4:23" ht="12.75">
      <c r="D51" s="80">
        <f t="shared" si="26"/>
        <v>5</v>
      </c>
      <c r="E51" s="35">
        <f t="shared" si="26"/>
        <v>0.0958904109589041</v>
      </c>
      <c r="F51" s="26">
        <f t="shared" si="27"/>
        <v>44.057492139189435</v>
      </c>
      <c r="G51" s="88" t="e">
        <f t="shared" si="28"/>
        <v>#NAME?</v>
      </c>
      <c r="H51" s="89" t="e">
        <f t="shared" si="29"/>
        <v>#NAME?</v>
      </c>
      <c r="I51" s="36" t="e">
        <f t="shared" si="20"/>
        <v>#NAME?</v>
      </c>
      <c r="J51" s="37" t="e">
        <f t="shared" si="21"/>
        <v>#NAME?</v>
      </c>
      <c r="K51" s="38" t="e">
        <f t="shared" si="22"/>
        <v>#NAME?</v>
      </c>
      <c r="L51" s="83" t="e">
        <f t="shared" si="30"/>
        <v>#NAME?</v>
      </c>
      <c r="M51" s="57" t="e">
        <f t="shared" si="35"/>
        <v>#NAME?</v>
      </c>
      <c r="N51" s="68" t="e">
        <f t="shared" si="36"/>
        <v>#NAME?</v>
      </c>
      <c r="O51" s="83" t="e">
        <f t="shared" si="31"/>
        <v>#NAME?</v>
      </c>
      <c r="P51" s="57" t="e">
        <f t="shared" si="37"/>
        <v>#NAME?</v>
      </c>
      <c r="Q51" s="68" t="e">
        <f t="shared" si="23"/>
        <v>#NAME?</v>
      </c>
      <c r="R51" s="57" t="e">
        <f t="shared" si="24"/>
        <v>#NAME?</v>
      </c>
      <c r="S51" s="57" t="e">
        <f t="shared" si="25"/>
        <v>#NAME?</v>
      </c>
      <c r="T51" s="58" t="e">
        <f t="shared" si="32"/>
        <v>#NAME?</v>
      </c>
      <c r="V51" s="132" t="e">
        <f t="shared" si="33"/>
        <v>#NAME?</v>
      </c>
      <c r="W51" s="58" t="e">
        <f t="shared" si="34"/>
        <v>#NAME?</v>
      </c>
    </row>
    <row r="52" spans="4:23" ht="12.75">
      <c r="D52" s="80">
        <f t="shared" si="26"/>
        <v>6</v>
      </c>
      <c r="E52" s="35">
        <f t="shared" si="26"/>
        <v>0.11506849315068493</v>
      </c>
      <c r="F52" s="26">
        <f t="shared" si="27"/>
        <v>46.35473829269814</v>
      </c>
      <c r="G52" s="88" t="e">
        <f t="shared" si="28"/>
        <v>#NAME?</v>
      </c>
      <c r="H52" s="89" t="e">
        <f t="shared" si="29"/>
        <v>#NAME?</v>
      </c>
      <c r="I52" s="36" t="e">
        <f t="shared" si="20"/>
        <v>#NAME?</v>
      </c>
      <c r="J52" s="37" t="e">
        <f t="shared" si="21"/>
        <v>#NAME?</v>
      </c>
      <c r="K52" s="38" t="e">
        <f t="shared" si="22"/>
        <v>#NAME?</v>
      </c>
      <c r="L52" s="83" t="e">
        <f t="shared" si="30"/>
        <v>#NAME?</v>
      </c>
      <c r="M52" s="57" t="e">
        <f t="shared" si="35"/>
        <v>#NAME?</v>
      </c>
      <c r="N52" s="68" t="e">
        <f t="shared" si="36"/>
        <v>#NAME?</v>
      </c>
      <c r="O52" s="83" t="e">
        <f t="shared" si="31"/>
        <v>#NAME?</v>
      </c>
      <c r="P52" s="57" t="e">
        <f t="shared" si="37"/>
        <v>#NAME?</v>
      </c>
      <c r="Q52" s="68" t="e">
        <f t="shared" si="23"/>
        <v>#NAME?</v>
      </c>
      <c r="R52" s="57" t="e">
        <f t="shared" si="24"/>
        <v>#NAME?</v>
      </c>
      <c r="S52" s="57" t="e">
        <f t="shared" si="25"/>
        <v>#NAME?</v>
      </c>
      <c r="T52" s="58" t="e">
        <f t="shared" si="32"/>
        <v>#NAME?</v>
      </c>
      <c r="V52" s="132" t="e">
        <f t="shared" si="33"/>
        <v>#NAME?</v>
      </c>
      <c r="W52" s="58" t="e">
        <f t="shared" si="34"/>
        <v>#NAME?</v>
      </c>
    </row>
    <row r="53" spans="4:23" ht="12.75">
      <c r="D53" s="80">
        <f t="shared" si="26"/>
        <v>7</v>
      </c>
      <c r="E53" s="35">
        <f t="shared" si="26"/>
        <v>0.13424657534246576</v>
      </c>
      <c r="F53" s="26">
        <f t="shared" si="27"/>
        <v>47.234539734327726</v>
      </c>
      <c r="G53" s="88" t="e">
        <f t="shared" si="28"/>
        <v>#NAME?</v>
      </c>
      <c r="H53" s="89" t="e">
        <f t="shared" si="29"/>
        <v>#NAME?</v>
      </c>
      <c r="I53" s="36" t="e">
        <f t="shared" si="20"/>
        <v>#NAME?</v>
      </c>
      <c r="J53" s="37" t="e">
        <f t="shared" si="21"/>
        <v>#NAME?</v>
      </c>
      <c r="K53" s="38" t="e">
        <f t="shared" si="22"/>
        <v>#NAME?</v>
      </c>
      <c r="L53" s="83" t="e">
        <f t="shared" si="30"/>
        <v>#NAME?</v>
      </c>
      <c r="M53" s="57" t="e">
        <f t="shared" si="35"/>
        <v>#NAME?</v>
      </c>
      <c r="N53" s="68" t="e">
        <f t="shared" si="36"/>
        <v>#NAME?</v>
      </c>
      <c r="O53" s="83" t="e">
        <f t="shared" si="31"/>
        <v>#NAME?</v>
      </c>
      <c r="P53" s="57" t="e">
        <f t="shared" si="37"/>
        <v>#NAME?</v>
      </c>
      <c r="Q53" s="68" t="e">
        <f t="shared" si="23"/>
        <v>#NAME?</v>
      </c>
      <c r="R53" s="57" t="e">
        <f t="shared" si="24"/>
        <v>#NAME?</v>
      </c>
      <c r="S53" s="57" t="e">
        <f t="shared" si="25"/>
        <v>#NAME?</v>
      </c>
      <c r="T53" s="58" t="e">
        <f t="shared" si="32"/>
        <v>#NAME?</v>
      </c>
      <c r="V53" s="132" t="e">
        <f t="shared" si="33"/>
        <v>#NAME?</v>
      </c>
      <c r="W53" s="58" t="e">
        <f t="shared" si="34"/>
        <v>#NAME?</v>
      </c>
    </row>
    <row r="54" spans="4:23" ht="12.75">
      <c r="D54" s="80">
        <f t="shared" si="26"/>
        <v>8</v>
      </c>
      <c r="E54" s="35">
        <f t="shared" si="26"/>
        <v>0.15342465753424658</v>
      </c>
      <c r="F54" s="26">
        <f t="shared" si="27"/>
        <v>52.32639451797397</v>
      </c>
      <c r="G54" s="88" t="e">
        <f t="shared" si="28"/>
        <v>#NAME?</v>
      </c>
      <c r="H54" s="89" t="e">
        <f t="shared" si="29"/>
        <v>#NAME?</v>
      </c>
      <c r="I54" s="36" t="e">
        <f t="shared" si="20"/>
        <v>#NAME?</v>
      </c>
      <c r="J54" s="37" t="e">
        <f t="shared" si="21"/>
        <v>#NAME?</v>
      </c>
      <c r="K54" s="38" t="e">
        <f t="shared" si="22"/>
        <v>#NAME?</v>
      </c>
      <c r="L54" s="83" t="e">
        <f t="shared" si="30"/>
        <v>#NAME?</v>
      </c>
      <c r="M54" s="57" t="e">
        <f t="shared" si="35"/>
        <v>#NAME?</v>
      </c>
      <c r="N54" s="68" t="e">
        <f t="shared" si="36"/>
        <v>#NAME?</v>
      </c>
      <c r="O54" s="83" t="e">
        <f t="shared" si="31"/>
        <v>#NAME?</v>
      </c>
      <c r="P54" s="57" t="e">
        <f t="shared" si="37"/>
        <v>#NAME?</v>
      </c>
      <c r="Q54" s="68" t="e">
        <f t="shared" si="23"/>
        <v>#NAME?</v>
      </c>
      <c r="R54" s="57" t="e">
        <f t="shared" si="24"/>
        <v>#NAME?</v>
      </c>
      <c r="S54" s="57" t="e">
        <f t="shared" si="25"/>
        <v>#NAME?</v>
      </c>
      <c r="T54" s="58" t="e">
        <f t="shared" si="32"/>
        <v>#NAME?</v>
      </c>
      <c r="V54" s="132" t="e">
        <f t="shared" si="33"/>
        <v>#NAME?</v>
      </c>
      <c r="W54" s="58" t="e">
        <f t="shared" si="34"/>
        <v>#NAME?</v>
      </c>
    </row>
    <row r="55" spans="4:23" ht="12.75">
      <c r="D55" s="80">
        <f t="shared" si="26"/>
        <v>9</v>
      </c>
      <c r="E55" s="35">
        <f t="shared" si="26"/>
        <v>0.1726027397260274</v>
      </c>
      <c r="F55" s="26">
        <f t="shared" si="27"/>
        <v>51.0577074227856</v>
      </c>
      <c r="G55" s="88" t="e">
        <f t="shared" si="28"/>
        <v>#NAME?</v>
      </c>
      <c r="H55" s="89" t="e">
        <f t="shared" si="29"/>
        <v>#NAME?</v>
      </c>
      <c r="I55" s="36" t="e">
        <f t="shared" si="20"/>
        <v>#NAME?</v>
      </c>
      <c r="J55" s="37" t="e">
        <f t="shared" si="21"/>
        <v>#NAME?</v>
      </c>
      <c r="K55" s="38" t="e">
        <f t="shared" si="22"/>
        <v>#NAME?</v>
      </c>
      <c r="L55" s="83" t="e">
        <f t="shared" si="30"/>
        <v>#NAME?</v>
      </c>
      <c r="M55" s="57" t="e">
        <f t="shared" si="35"/>
        <v>#NAME?</v>
      </c>
      <c r="N55" s="68" t="e">
        <f t="shared" si="36"/>
        <v>#NAME?</v>
      </c>
      <c r="O55" s="83" t="e">
        <f t="shared" si="31"/>
        <v>#NAME?</v>
      </c>
      <c r="P55" s="57" t="e">
        <f t="shared" si="37"/>
        <v>#NAME?</v>
      </c>
      <c r="Q55" s="68" t="e">
        <f t="shared" si="23"/>
        <v>#NAME?</v>
      </c>
      <c r="R55" s="57" t="e">
        <f t="shared" si="24"/>
        <v>#NAME?</v>
      </c>
      <c r="S55" s="57" t="e">
        <f t="shared" si="25"/>
        <v>#NAME?</v>
      </c>
      <c r="T55" s="58" t="e">
        <f t="shared" si="32"/>
        <v>#NAME?</v>
      </c>
      <c r="V55" s="132" t="e">
        <f t="shared" si="33"/>
        <v>#NAME?</v>
      </c>
      <c r="W55" s="58" t="e">
        <f t="shared" si="34"/>
        <v>#NAME?</v>
      </c>
    </row>
    <row r="56" spans="4:23" ht="12.75">
      <c r="D56" s="80">
        <f t="shared" si="26"/>
        <v>10</v>
      </c>
      <c r="E56" s="35">
        <f t="shared" si="26"/>
        <v>0.1917808219178082</v>
      </c>
      <c r="F56" s="26">
        <f t="shared" si="27"/>
        <v>53.17449366822758</v>
      </c>
      <c r="G56" s="88" t="e">
        <f t="shared" si="28"/>
        <v>#NAME?</v>
      </c>
      <c r="H56" s="89" t="e">
        <f t="shared" si="29"/>
        <v>#NAME?</v>
      </c>
      <c r="I56" s="36" t="e">
        <f t="shared" si="20"/>
        <v>#NAME?</v>
      </c>
      <c r="J56" s="37" t="e">
        <f t="shared" si="21"/>
        <v>#NAME?</v>
      </c>
      <c r="K56" s="38" t="e">
        <f t="shared" si="22"/>
        <v>#NAME?</v>
      </c>
      <c r="L56" s="83" t="e">
        <f t="shared" si="30"/>
        <v>#NAME?</v>
      </c>
      <c r="M56" s="57" t="e">
        <f t="shared" si="35"/>
        <v>#NAME?</v>
      </c>
      <c r="N56" s="68" t="e">
        <f t="shared" si="36"/>
        <v>#NAME?</v>
      </c>
      <c r="O56" s="83" t="e">
        <f t="shared" si="31"/>
        <v>#NAME?</v>
      </c>
      <c r="P56" s="57" t="e">
        <f t="shared" si="37"/>
        <v>#NAME?</v>
      </c>
      <c r="Q56" s="68" t="e">
        <f t="shared" si="23"/>
        <v>#NAME?</v>
      </c>
      <c r="R56" s="57" t="e">
        <f t="shared" si="24"/>
        <v>#NAME?</v>
      </c>
      <c r="S56" s="57" t="e">
        <f t="shared" si="25"/>
        <v>#NAME?</v>
      </c>
      <c r="T56" s="58" t="e">
        <f t="shared" si="32"/>
        <v>#NAME?</v>
      </c>
      <c r="V56" s="132" t="e">
        <f t="shared" si="33"/>
        <v>#NAME?</v>
      </c>
      <c r="W56" s="58" t="e">
        <f t="shared" si="34"/>
        <v>#NAME?</v>
      </c>
    </row>
    <row r="57" spans="4:23" ht="12.75">
      <c r="D57" s="80">
        <f t="shared" si="26"/>
        <v>11</v>
      </c>
      <c r="E57" s="35">
        <f t="shared" si="26"/>
        <v>0.21095890410958903</v>
      </c>
      <c r="F57" s="26">
        <f t="shared" si="27"/>
        <v>59.117649599319606</v>
      </c>
      <c r="G57" s="88" t="e">
        <f t="shared" si="28"/>
        <v>#NAME?</v>
      </c>
      <c r="H57" s="89" t="e">
        <f t="shared" si="29"/>
        <v>#NAME?</v>
      </c>
      <c r="I57" s="36" t="e">
        <f t="shared" si="20"/>
        <v>#NAME?</v>
      </c>
      <c r="J57" s="37" t="e">
        <f t="shared" si="21"/>
        <v>#NAME?</v>
      </c>
      <c r="K57" s="38" t="e">
        <f t="shared" si="22"/>
        <v>#NAME?</v>
      </c>
      <c r="L57" s="83" t="e">
        <f t="shared" si="30"/>
        <v>#NAME?</v>
      </c>
      <c r="M57" s="57" t="e">
        <f t="shared" si="35"/>
        <v>#NAME?</v>
      </c>
      <c r="N57" s="68" t="e">
        <f t="shared" si="36"/>
        <v>#NAME?</v>
      </c>
      <c r="O57" s="83" t="e">
        <f t="shared" si="31"/>
        <v>#NAME?</v>
      </c>
      <c r="P57" s="57" t="e">
        <f t="shared" si="37"/>
        <v>#NAME?</v>
      </c>
      <c r="Q57" s="68" t="e">
        <f t="shared" si="23"/>
        <v>#NAME?</v>
      </c>
      <c r="R57" s="57" t="e">
        <f t="shared" si="24"/>
        <v>#NAME?</v>
      </c>
      <c r="S57" s="57" t="e">
        <f t="shared" si="25"/>
        <v>#NAME?</v>
      </c>
      <c r="T57" s="58" t="e">
        <f t="shared" si="32"/>
        <v>#NAME?</v>
      </c>
      <c r="V57" s="132" t="e">
        <f t="shared" si="33"/>
        <v>#NAME?</v>
      </c>
      <c r="W57" s="58" t="e">
        <f t="shared" si="34"/>
        <v>#NAME?</v>
      </c>
    </row>
    <row r="58" spans="4:23" ht="12.75">
      <c r="D58" s="80">
        <f t="shared" si="26"/>
        <v>12</v>
      </c>
      <c r="E58" s="35">
        <f t="shared" si="26"/>
        <v>0.23013698630136986</v>
      </c>
      <c r="F58" s="26">
        <f t="shared" si="27"/>
        <v>55.91523156291641</v>
      </c>
      <c r="G58" s="88" t="e">
        <f t="shared" si="28"/>
        <v>#NAME?</v>
      </c>
      <c r="H58" s="89" t="e">
        <f t="shared" si="29"/>
        <v>#NAME?</v>
      </c>
      <c r="I58" s="36" t="e">
        <f t="shared" si="20"/>
        <v>#NAME?</v>
      </c>
      <c r="J58" s="37" t="e">
        <f t="shared" si="21"/>
        <v>#NAME?</v>
      </c>
      <c r="K58" s="38" t="e">
        <f t="shared" si="22"/>
        <v>#NAME?</v>
      </c>
      <c r="L58" s="83" t="e">
        <f t="shared" si="30"/>
        <v>#NAME?</v>
      </c>
      <c r="M58" s="57" t="e">
        <f t="shared" si="35"/>
        <v>#NAME?</v>
      </c>
      <c r="N58" s="68" t="e">
        <f t="shared" si="36"/>
        <v>#NAME?</v>
      </c>
      <c r="O58" s="83" t="e">
        <f t="shared" si="31"/>
        <v>#NAME?</v>
      </c>
      <c r="P58" s="57" t="e">
        <f t="shared" si="37"/>
        <v>#NAME?</v>
      </c>
      <c r="Q58" s="68" t="e">
        <f t="shared" si="23"/>
        <v>#NAME?</v>
      </c>
      <c r="R58" s="57" t="e">
        <f t="shared" si="24"/>
        <v>#NAME?</v>
      </c>
      <c r="S58" s="57" t="e">
        <f t="shared" si="25"/>
        <v>#NAME?</v>
      </c>
      <c r="T58" s="58" t="e">
        <f t="shared" si="32"/>
        <v>#NAME?</v>
      </c>
      <c r="V58" s="132" t="e">
        <f t="shared" si="33"/>
        <v>#NAME?</v>
      </c>
      <c r="W58" s="58" t="e">
        <f t="shared" si="34"/>
        <v>#NAME?</v>
      </c>
    </row>
    <row r="59" spans="4:23" ht="12.75">
      <c r="D59" s="80">
        <f t="shared" si="26"/>
        <v>13</v>
      </c>
      <c r="E59" s="35">
        <f t="shared" si="26"/>
        <v>0.2493150684931507</v>
      </c>
      <c r="F59" s="26">
        <f t="shared" si="27"/>
        <v>54.634492805903406</v>
      </c>
      <c r="G59" s="88" t="e">
        <f t="shared" si="28"/>
        <v>#NAME?</v>
      </c>
      <c r="H59" s="89" t="e">
        <f t="shared" si="29"/>
        <v>#NAME?</v>
      </c>
      <c r="I59" s="36" t="e">
        <f t="shared" si="20"/>
        <v>#NAME?</v>
      </c>
      <c r="J59" s="37" t="e">
        <f t="shared" si="21"/>
        <v>#NAME?</v>
      </c>
      <c r="K59" s="38" t="e">
        <f t="shared" si="22"/>
        <v>#NAME?</v>
      </c>
      <c r="L59" s="83" t="e">
        <f t="shared" si="30"/>
        <v>#NAME?</v>
      </c>
      <c r="M59" s="57" t="e">
        <f t="shared" si="35"/>
        <v>#NAME?</v>
      </c>
      <c r="N59" s="68" t="e">
        <f t="shared" si="36"/>
        <v>#NAME?</v>
      </c>
      <c r="O59" s="83" t="e">
        <f t="shared" si="31"/>
        <v>#NAME?</v>
      </c>
      <c r="P59" s="57" t="e">
        <f t="shared" si="37"/>
        <v>#NAME?</v>
      </c>
      <c r="Q59" s="68" t="e">
        <f t="shared" si="23"/>
        <v>#NAME?</v>
      </c>
      <c r="R59" s="57" t="e">
        <f t="shared" si="24"/>
        <v>#NAME?</v>
      </c>
      <c r="S59" s="57" t="e">
        <f t="shared" si="25"/>
        <v>#NAME?</v>
      </c>
      <c r="T59" s="58" t="e">
        <f t="shared" si="32"/>
        <v>#NAME?</v>
      </c>
      <c r="V59" s="132" t="e">
        <f t="shared" si="33"/>
        <v>#NAME?</v>
      </c>
      <c r="W59" s="58" t="e">
        <f t="shared" si="34"/>
        <v>#NAME?</v>
      </c>
    </row>
    <row r="60" spans="4:23" ht="12.75">
      <c r="D60" s="80">
        <f t="shared" si="26"/>
        <v>14</v>
      </c>
      <c r="E60" s="35">
        <f t="shared" si="26"/>
        <v>0.2684931506849315</v>
      </c>
      <c r="F60" s="26">
        <f t="shared" si="27"/>
        <v>62.589573052072446</v>
      </c>
      <c r="G60" s="88" t="e">
        <f t="shared" si="28"/>
        <v>#NAME?</v>
      </c>
      <c r="H60" s="89" t="e">
        <f t="shared" si="29"/>
        <v>#NAME?</v>
      </c>
      <c r="I60" s="36" t="e">
        <f t="shared" si="20"/>
        <v>#NAME?</v>
      </c>
      <c r="J60" s="37" t="e">
        <f t="shared" si="21"/>
        <v>#NAME?</v>
      </c>
      <c r="K60" s="38" t="e">
        <f t="shared" si="22"/>
        <v>#NAME?</v>
      </c>
      <c r="L60" s="83" t="e">
        <f t="shared" si="30"/>
        <v>#NAME?</v>
      </c>
      <c r="M60" s="57" t="e">
        <f t="shared" si="35"/>
        <v>#NAME?</v>
      </c>
      <c r="N60" s="68" t="e">
        <f t="shared" si="36"/>
        <v>#NAME?</v>
      </c>
      <c r="O60" s="83" t="e">
        <f t="shared" si="31"/>
        <v>#NAME?</v>
      </c>
      <c r="P60" s="57" t="e">
        <f t="shared" si="37"/>
        <v>#NAME?</v>
      </c>
      <c r="Q60" s="68" t="e">
        <f t="shared" si="23"/>
        <v>#NAME?</v>
      </c>
      <c r="R60" s="57" t="e">
        <f t="shared" si="24"/>
        <v>#NAME?</v>
      </c>
      <c r="S60" s="57" t="e">
        <f t="shared" si="25"/>
        <v>#NAME?</v>
      </c>
      <c r="T60" s="58" t="e">
        <f t="shared" si="32"/>
        <v>#NAME?</v>
      </c>
      <c r="V60" s="132" t="e">
        <f t="shared" si="33"/>
        <v>#NAME?</v>
      </c>
      <c r="W60" s="58" t="e">
        <f t="shared" si="34"/>
        <v>#NAME?</v>
      </c>
    </row>
    <row r="61" spans="4:23" ht="12.75">
      <c r="D61" s="80">
        <f t="shared" si="26"/>
        <v>15</v>
      </c>
      <c r="E61" s="35">
        <f t="shared" si="26"/>
        <v>0.2876712328767123</v>
      </c>
      <c r="F61" s="26">
        <f t="shared" si="27"/>
        <v>62.02227503532584</v>
      </c>
      <c r="G61" s="88" t="e">
        <f t="shared" si="28"/>
        <v>#NAME?</v>
      </c>
      <c r="H61" s="89" t="e">
        <f t="shared" si="29"/>
        <v>#NAME?</v>
      </c>
      <c r="I61" s="36" t="e">
        <f t="shared" si="20"/>
        <v>#NAME?</v>
      </c>
      <c r="J61" s="37" t="e">
        <f t="shared" si="21"/>
        <v>#NAME?</v>
      </c>
      <c r="K61" s="38" t="e">
        <f t="shared" si="22"/>
        <v>#NAME?</v>
      </c>
      <c r="L61" s="83" t="e">
        <f t="shared" si="30"/>
        <v>#NAME?</v>
      </c>
      <c r="M61" s="57" t="e">
        <f t="shared" si="35"/>
        <v>#NAME?</v>
      </c>
      <c r="N61" s="68" t="e">
        <f t="shared" si="36"/>
        <v>#NAME?</v>
      </c>
      <c r="O61" s="83" t="e">
        <f t="shared" si="31"/>
        <v>#NAME?</v>
      </c>
      <c r="P61" s="57" t="e">
        <f t="shared" si="37"/>
        <v>#NAME?</v>
      </c>
      <c r="Q61" s="68" t="e">
        <f t="shared" si="23"/>
        <v>#NAME?</v>
      </c>
      <c r="R61" s="57" t="e">
        <f t="shared" si="24"/>
        <v>#NAME?</v>
      </c>
      <c r="S61" s="57" t="e">
        <f t="shared" si="25"/>
        <v>#NAME?</v>
      </c>
      <c r="T61" s="58" t="e">
        <f t="shared" si="32"/>
        <v>#NAME?</v>
      </c>
      <c r="V61" s="132" t="e">
        <f t="shared" si="33"/>
        <v>#NAME?</v>
      </c>
      <c r="W61" s="58" t="e">
        <f t="shared" si="34"/>
        <v>#NAME?</v>
      </c>
    </row>
    <row r="62" spans="4:23" ht="12.75">
      <c r="D62" s="80">
        <f t="shared" si="26"/>
        <v>16</v>
      </c>
      <c r="E62" s="35">
        <f t="shared" si="26"/>
        <v>0.30684931506849317</v>
      </c>
      <c r="F62" s="26">
        <f t="shared" si="27"/>
        <v>66.12696403831416</v>
      </c>
      <c r="G62" s="88" t="e">
        <f t="shared" si="28"/>
        <v>#NAME?</v>
      </c>
      <c r="H62" s="89" t="e">
        <f t="shared" si="29"/>
        <v>#NAME?</v>
      </c>
      <c r="I62" s="36" t="e">
        <f t="shared" si="20"/>
        <v>#NAME?</v>
      </c>
      <c r="J62" s="37" t="e">
        <f t="shared" si="21"/>
        <v>#NAME?</v>
      </c>
      <c r="K62" s="38" t="e">
        <f t="shared" si="22"/>
        <v>#NAME?</v>
      </c>
      <c r="L62" s="83" t="e">
        <f t="shared" si="30"/>
        <v>#NAME?</v>
      </c>
      <c r="M62" s="57" t="e">
        <f t="shared" si="35"/>
        <v>#NAME?</v>
      </c>
      <c r="N62" s="68" t="e">
        <f t="shared" si="36"/>
        <v>#NAME?</v>
      </c>
      <c r="O62" s="83" t="e">
        <f t="shared" si="31"/>
        <v>#NAME?</v>
      </c>
      <c r="P62" s="57" t="e">
        <f t="shared" si="37"/>
        <v>#NAME?</v>
      </c>
      <c r="Q62" s="68" t="e">
        <f t="shared" si="23"/>
        <v>#NAME?</v>
      </c>
      <c r="R62" s="57" t="e">
        <f t="shared" si="24"/>
        <v>#NAME?</v>
      </c>
      <c r="S62" s="57" t="e">
        <f t="shared" si="25"/>
        <v>#NAME?</v>
      </c>
      <c r="T62" s="58" t="e">
        <f t="shared" si="32"/>
        <v>#NAME?</v>
      </c>
      <c r="V62" s="132" t="e">
        <f t="shared" si="33"/>
        <v>#NAME?</v>
      </c>
      <c r="W62" s="58" t="e">
        <f t="shared" si="34"/>
        <v>#NAME?</v>
      </c>
    </row>
    <row r="63" spans="4:23" ht="12.75">
      <c r="D63" s="80">
        <f t="shared" si="26"/>
        <v>17</v>
      </c>
      <c r="E63" s="35">
        <f t="shared" si="26"/>
        <v>0.32602739726027397</v>
      </c>
      <c r="F63" s="26">
        <f t="shared" si="27"/>
        <v>66.7519026468558</v>
      </c>
      <c r="G63" s="88" t="e">
        <f t="shared" si="28"/>
        <v>#NAME?</v>
      </c>
      <c r="H63" s="89" t="e">
        <f t="shared" si="29"/>
        <v>#NAME?</v>
      </c>
      <c r="I63" s="36" t="e">
        <f t="shared" si="20"/>
        <v>#NAME?</v>
      </c>
      <c r="J63" s="37" t="e">
        <f t="shared" si="21"/>
        <v>#NAME?</v>
      </c>
      <c r="K63" s="38" t="e">
        <f t="shared" si="22"/>
        <v>#NAME?</v>
      </c>
      <c r="L63" s="83" t="e">
        <f t="shared" si="30"/>
        <v>#NAME?</v>
      </c>
      <c r="M63" s="57" t="e">
        <f t="shared" si="35"/>
        <v>#NAME?</v>
      </c>
      <c r="N63" s="68" t="e">
        <f t="shared" si="36"/>
        <v>#NAME?</v>
      </c>
      <c r="O63" s="83" t="e">
        <f t="shared" si="31"/>
        <v>#NAME?</v>
      </c>
      <c r="P63" s="57" t="e">
        <f t="shared" si="37"/>
        <v>#NAME?</v>
      </c>
      <c r="Q63" s="68" t="e">
        <f t="shared" si="23"/>
        <v>#NAME?</v>
      </c>
      <c r="R63" s="57" t="e">
        <f t="shared" si="24"/>
        <v>#NAME?</v>
      </c>
      <c r="S63" s="57" t="e">
        <f t="shared" si="25"/>
        <v>#NAME?</v>
      </c>
      <c r="T63" s="58" t="e">
        <f t="shared" si="32"/>
        <v>#NAME?</v>
      </c>
      <c r="V63" s="132" t="e">
        <f t="shared" si="33"/>
        <v>#NAME?</v>
      </c>
      <c r="W63" s="58" t="e">
        <f t="shared" si="34"/>
        <v>#NAME?</v>
      </c>
    </row>
    <row r="64" spans="4:23" ht="12.75">
      <c r="D64" s="80">
        <f t="shared" si="26"/>
        <v>18</v>
      </c>
      <c r="E64" s="35">
        <f t="shared" si="26"/>
        <v>0.3452054794520548</v>
      </c>
      <c r="F64" s="26">
        <f t="shared" si="27"/>
        <v>64.04415145630502</v>
      </c>
      <c r="G64" s="88" t="e">
        <f t="shared" si="28"/>
        <v>#NAME?</v>
      </c>
      <c r="H64" s="89" t="e">
        <f t="shared" si="29"/>
        <v>#NAME?</v>
      </c>
      <c r="I64" s="36" t="e">
        <f t="shared" si="20"/>
        <v>#NAME?</v>
      </c>
      <c r="J64" s="37" t="e">
        <f t="shared" si="21"/>
        <v>#NAME?</v>
      </c>
      <c r="K64" s="38" t="e">
        <f t="shared" si="22"/>
        <v>#NAME?</v>
      </c>
      <c r="L64" s="83" t="e">
        <f t="shared" si="30"/>
        <v>#NAME?</v>
      </c>
      <c r="M64" s="57" t="e">
        <f t="shared" si="35"/>
        <v>#NAME?</v>
      </c>
      <c r="N64" s="68" t="e">
        <f t="shared" si="36"/>
        <v>#NAME?</v>
      </c>
      <c r="O64" s="83" t="e">
        <f t="shared" si="31"/>
        <v>#NAME?</v>
      </c>
      <c r="P64" s="57" t="e">
        <f t="shared" si="37"/>
        <v>#NAME?</v>
      </c>
      <c r="Q64" s="68" t="e">
        <f t="shared" si="23"/>
        <v>#NAME?</v>
      </c>
      <c r="R64" s="57" t="e">
        <f t="shared" si="24"/>
        <v>#NAME?</v>
      </c>
      <c r="S64" s="57" t="e">
        <f t="shared" si="25"/>
        <v>#NAME?</v>
      </c>
      <c r="T64" s="58" t="e">
        <f t="shared" si="32"/>
        <v>#NAME?</v>
      </c>
      <c r="V64" s="132" t="e">
        <f t="shared" si="33"/>
        <v>#NAME?</v>
      </c>
      <c r="W64" s="58" t="e">
        <f t="shared" si="34"/>
        <v>#NAME?</v>
      </c>
    </row>
    <row r="65" spans="4:23" ht="12.75">
      <c r="D65" s="80">
        <f t="shared" si="26"/>
        <v>19</v>
      </c>
      <c r="E65" s="35">
        <f t="shared" si="26"/>
        <v>0.3643835616438356</v>
      </c>
      <c r="F65" s="26">
        <f t="shared" si="27"/>
        <v>64.86181468870852</v>
      </c>
      <c r="G65" s="88" t="e">
        <f t="shared" si="28"/>
        <v>#NAME?</v>
      </c>
      <c r="H65" s="89" t="e">
        <f t="shared" si="29"/>
        <v>#NAME?</v>
      </c>
      <c r="I65" s="36" t="e">
        <f t="shared" si="20"/>
        <v>#NAME?</v>
      </c>
      <c r="J65" s="37" t="e">
        <f t="shared" si="21"/>
        <v>#NAME?</v>
      </c>
      <c r="K65" s="38" t="e">
        <f t="shared" si="22"/>
        <v>#NAME?</v>
      </c>
      <c r="L65" s="83" t="e">
        <f t="shared" si="30"/>
        <v>#NAME?</v>
      </c>
      <c r="M65" s="57" t="e">
        <f t="shared" si="35"/>
        <v>#NAME?</v>
      </c>
      <c r="N65" s="68" t="e">
        <f t="shared" si="36"/>
        <v>#NAME?</v>
      </c>
      <c r="O65" s="83" t="e">
        <f t="shared" si="31"/>
        <v>#NAME?</v>
      </c>
      <c r="P65" s="57" t="e">
        <f t="shared" si="37"/>
        <v>#NAME?</v>
      </c>
      <c r="Q65" s="68" t="e">
        <f t="shared" si="23"/>
        <v>#NAME?</v>
      </c>
      <c r="R65" s="57" t="e">
        <f t="shared" si="24"/>
        <v>#NAME?</v>
      </c>
      <c r="S65" s="57" t="e">
        <f t="shared" si="25"/>
        <v>#NAME?</v>
      </c>
      <c r="T65" s="58" t="e">
        <f t="shared" si="32"/>
        <v>#NAME?</v>
      </c>
      <c r="V65" s="132" t="e">
        <f t="shared" si="33"/>
        <v>#NAME?</v>
      </c>
      <c r="W65" s="58" t="e">
        <f t="shared" si="34"/>
        <v>#NAME?</v>
      </c>
    </row>
    <row r="66" spans="4:23" ht="13.5" thickBot="1">
      <c r="D66" s="80">
        <f t="shared" si="26"/>
        <v>20</v>
      </c>
      <c r="E66" s="35">
        <f t="shared" si="26"/>
        <v>0.38346164383561643</v>
      </c>
      <c r="F66" s="27">
        <f t="shared" si="27"/>
        <v>57.514482540894626</v>
      </c>
      <c r="G66" s="90" t="e">
        <f t="shared" si="28"/>
        <v>#NAME?</v>
      </c>
      <c r="H66" s="91" t="e">
        <f t="shared" si="29"/>
        <v>#NAME?</v>
      </c>
      <c r="I66" s="84" t="e">
        <f t="shared" si="20"/>
        <v>#NAME?</v>
      </c>
      <c r="J66" s="63" t="e">
        <f t="shared" si="21"/>
        <v>#NAME?</v>
      </c>
      <c r="K66" s="85" t="e">
        <f t="shared" si="22"/>
        <v>#NAME?</v>
      </c>
      <c r="L66" s="86" t="e">
        <f t="shared" si="30"/>
        <v>#NAME?</v>
      </c>
      <c r="M66" s="64" t="e">
        <f t="shared" si="35"/>
        <v>#NAME?</v>
      </c>
      <c r="N66" s="87" t="e">
        <f t="shared" si="36"/>
        <v>#NAME?</v>
      </c>
      <c r="O66" s="86" t="e">
        <f t="shared" si="31"/>
        <v>#NAME?</v>
      </c>
      <c r="P66" s="64" t="e">
        <f t="shared" si="37"/>
        <v>#NAME?</v>
      </c>
      <c r="Q66" s="87" t="e">
        <f t="shared" si="23"/>
        <v>#NAME?</v>
      </c>
      <c r="R66" s="64" t="e">
        <f t="shared" si="24"/>
        <v>#NAME?</v>
      </c>
      <c r="S66" s="64"/>
      <c r="T66" s="65" t="e">
        <f t="shared" si="32"/>
        <v>#NAME?</v>
      </c>
      <c r="V66" s="134" t="e">
        <f t="shared" si="33"/>
        <v>#NAME?</v>
      </c>
      <c r="W66" s="135" t="e">
        <f t="shared" si="34"/>
        <v>#NAME?</v>
      </c>
    </row>
    <row r="67" spans="20:23" ht="13.5" thickBot="1">
      <c r="T67" s="129" t="e">
        <f>T66-O66*F66</f>
        <v>#NAME?</v>
      </c>
      <c r="V67" s="133" t="e">
        <f>SUM(V46:V66)</f>
        <v>#NAME?</v>
      </c>
      <c r="W67" s="65" t="e">
        <f>SUM(W46:W66)</f>
        <v>#NAME?</v>
      </c>
    </row>
    <row r="186" spans="4:5" ht="12.75">
      <c r="D186" s="2"/>
      <c r="E186" s="35"/>
    </row>
    <row r="187" spans="4:5" ht="12.75">
      <c r="D187" s="2"/>
      <c r="E187" s="35"/>
    </row>
    <row r="188" spans="4:5" ht="12.75">
      <c r="D188" s="2"/>
      <c r="E188" s="35"/>
    </row>
    <row r="189" spans="4:5" ht="12.75">
      <c r="D189" s="2"/>
      <c r="E189" s="35"/>
    </row>
    <row r="190" spans="4:5" ht="12.75">
      <c r="D190" s="2"/>
      <c r="E190" s="35"/>
    </row>
    <row r="191" spans="4:5" ht="12.75">
      <c r="D191" s="2"/>
      <c r="E191" s="35"/>
    </row>
    <row r="192" spans="4:5" ht="12.75">
      <c r="D192" s="2"/>
      <c r="E192" s="35"/>
    </row>
    <row r="193" spans="4:5" ht="12.75">
      <c r="D193" s="2"/>
      <c r="E193" s="35"/>
    </row>
    <row r="194" spans="4:5" ht="12.75">
      <c r="D194" s="2"/>
      <c r="E194" s="35"/>
    </row>
    <row r="195" spans="4:5" ht="12.75">
      <c r="D195" s="2"/>
      <c r="E195" s="35"/>
    </row>
    <row r="196" spans="4:5" ht="12.75">
      <c r="D196" s="2"/>
      <c r="E196" s="35"/>
    </row>
    <row r="197" spans="4:5" ht="12.75">
      <c r="D197" s="2"/>
      <c r="E197" s="35"/>
    </row>
    <row r="198" spans="4:5" ht="12.75">
      <c r="D198" s="2"/>
      <c r="E198" s="35"/>
    </row>
    <row r="199" spans="4:5" ht="12.75">
      <c r="D199" s="2"/>
      <c r="E199" s="35"/>
    </row>
    <row r="200" spans="4:5" ht="12.75">
      <c r="D200" s="2"/>
      <c r="E200" s="35"/>
    </row>
    <row r="201" spans="4:5" ht="12.75">
      <c r="D201" s="2"/>
      <c r="E201" s="35"/>
    </row>
    <row r="202" spans="4:5" ht="12.75">
      <c r="D202" s="2"/>
      <c r="E202" s="35"/>
    </row>
    <row r="203" spans="4:5" ht="12.75">
      <c r="D203" s="2"/>
      <c r="E203" s="35"/>
    </row>
    <row r="204" spans="4:5" ht="12.75">
      <c r="D204" s="2"/>
      <c r="E204" s="35"/>
    </row>
    <row r="205" spans="4:5" ht="12.75">
      <c r="D205" s="2"/>
      <c r="E205" s="35"/>
    </row>
    <row r="206" spans="4:5" ht="12.75">
      <c r="D206" s="2"/>
      <c r="E206" s="35"/>
    </row>
    <row r="207" spans="4:5" ht="12.75">
      <c r="D207" s="2"/>
      <c r="E207" s="35"/>
    </row>
    <row r="208" spans="4:5" ht="12.75">
      <c r="D208" s="2"/>
      <c r="E208" s="35"/>
    </row>
    <row r="209" spans="4:5" ht="12.75">
      <c r="D209" s="2"/>
      <c r="E209" s="35"/>
    </row>
    <row r="210" spans="4:5" ht="12.75">
      <c r="D210" s="2"/>
      <c r="E210" s="35"/>
    </row>
    <row r="211" spans="4:5" ht="12.75">
      <c r="D211" s="2"/>
      <c r="E211" s="35"/>
    </row>
    <row r="212" spans="4:5" ht="12.75">
      <c r="D212" s="2"/>
      <c r="E212" s="35"/>
    </row>
    <row r="213" spans="4:5" ht="12.75">
      <c r="D213" s="2"/>
      <c r="E213" s="35"/>
    </row>
  </sheetData>
  <sheetProtection/>
  <mergeCells count="18">
    <mergeCell ref="V18:W18"/>
    <mergeCell ref="V44:W44"/>
    <mergeCell ref="L18:N18"/>
    <mergeCell ref="F43:T43"/>
    <mergeCell ref="G44:H44"/>
    <mergeCell ref="I44:K44"/>
    <mergeCell ref="L44:N44"/>
    <mergeCell ref="O44:Q44"/>
    <mergeCell ref="A19:B19"/>
    <mergeCell ref="M7:O7"/>
    <mergeCell ref="B7:C7"/>
    <mergeCell ref="F7:G7"/>
    <mergeCell ref="I7:J7"/>
    <mergeCell ref="O18:Q18"/>
    <mergeCell ref="F17:T17"/>
    <mergeCell ref="P7:Q7"/>
    <mergeCell ref="G18:H18"/>
    <mergeCell ref="I18:K1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1028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8.00390625" style="0" bestFit="1" customWidth="1"/>
    <col min="2" max="2" width="12.28125" style="0" customWidth="1"/>
    <col min="3" max="3" width="12.00390625" style="0" bestFit="1" customWidth="1"/>
    <col min="6" max="6" width="7.57421875" style="0" bestFit="1" customWidth="1"/>
    <col min="7" max="7" width="13.140625" style="0" bestFit="1" customWidth="1"/>
    <col min="10" max="10" width="10.28125" style="0" customWidth="1"/>
    <col min="11" max="11" width="11.421875" style="0" customWidth="1"/>
    <col min="12" max="12" width="9.8515625" style="0" bestFit="1" customWidth="1"/>
    <col min="15" max="15" width="9.57421875" style="0" bestFit="1" customWidth="1"/>
  </cols>
  <sheetData>
    <row r="1" s="125" customFormat="1" ht="15.75">
      <c r="E1" s="126" t="s">
        <v>300</v>
      </c>
    </row>
    <row r="2" s="125" customFormat="1" ht="15.75">
      <c r="E2" s="126" t="s">
        <v>329</v>
      </c>
    </row>
    <row r="3" s="125" customFormat="1" ht="15.75">
      <c r="E3" s="126" t="s">
        <v>330</v>
      </c>
    </row>
    <row r="4" ht="13.5" thickBot="1"/>
    <row r="5" spans="2:3" ht="12.75">
      <c r="B5" s="12" t="s">
        <v>117</v>
      </c>
      <c r="C5" s="6">
        <v>0</v>
      </c>
    </row>
    <row r="6" spans="2:9" ht="13.5" thickBot="1">
      <c r="B6" s="20" t="s">
        <v>0</v>
      </c>
      <c r="C6" s="8">
        <v>49</v>
      </c>
      <c r="G6" t="s">
        <v>86</v>
      </c>
      <c r="H6" s="2" t="s">
        <v>100</v>
      </c>
      <c r="I6" s="2" t="s">
        <v>101</v>
      </c>
    </row>
    <row r="7" spans="2:12" ht="12.75">
      <c r="B7" s="20" t="s">
        <v>23</v>
      </c>
      <c r="C7" s="8" t="b">
        <v>0</v>
      </c>
      <c r="G7" t="s">
        <v>103</v>
      </c>
      <c r="H7" s="12">
        <v>0</v>
      </c>
      <c r="I7" s="41">
        <v>1000</v>
      </c>
      <c r="J7" s="41"/>
      <c r="K7" s="41"/>
      <c r="L7" s="6"/>
    </row>
    <row r="8" spans="2:12" ht="12.75">
      <c r="B8" s="20" t="s">
        <v>1</v>
      </c>
      <c r="C8" s="10">
        <v>0.05</v>
      </c>
      <c r="G8" t="s">
        <v>104</v>
      </c>
      <c r="H8" s="20">
        <v>1</v>
      </c>
      <c r="I8" s="23">
        <v>100</v>
      </c>
      <c r="J8" s="23">
        <v>55</v>
      </c>
      <c r="K8" s="23">
        <v>0.5</v>
      </c>
      <c r="L8" s="8" t="b">
        <v>1</v>
      </c>
    </row>
    <row r="9" spans="2:12" ht="12.75">
      <c r="B9" s="20" t="s">
        <v>2</v>
      </c>
      <c r="C9" s="10">
        <v>0</v>
      </c>
      <c r="G9" t="s">
        <v>104</v>
      </c>
      <c r="H9" s="20">
        <v>1</v>
      </c>
      <c r="I9" s="23">
        <v>500</v>
      </c>
      <c r="J9" s="23">
        <v>50</v>
      </c>
      <c r="K9" s="23">
        <v>0.25</v>
      </c>
      <c r="L9" s="8" t="b">
        <v>1</v>
      </c>
    </row>
    <row r="10" spans="2:12" ht="13.5" thickBot="1">
      <c r="B10" s="13" t="s">
        <v>14</v>
      </c>
      <c r="C10" s="94">
        <v>0.3</v>
      </c>
      <c r="G10" t="s">
        <v>104</v>
      </c>
      <c r="H10" s="13">
        <v>1</v>
      </c>
      <c r="I10" s="25">
        <v>1600</v>
      </c>
      <c r="J10" s="25">
        <v>50</v>
      </c>
      <c r="K10" s="25">
        <v>0.2</v>
      </c>
      <c r="L10" s="14" t="b">
        <v>0</v>
      </c>
    </row>
    <row r="11" spans="2:3" ht="12.75">
      <c r="B11" s="28" t="s">
        <v>97</v>
      </c>
      <c r="C11" s="33">
        <f>C10*SQRT(1/252)</f>
        <v>0.01889822365046136</v>
      </c>
    </row>
    <row r="12" spans="2:3" ht="13.5" thickBot="1">
      <c r="B12" s="28"/>
      <c r="C12" s="33"/>
    </row>
    <row r="13" spans="2:3" ht="13.5" thickBot="1">
      <c r="B13" s="191" t="s">
        <v>86</v>
      </c>
      <c r="C13" s="192"/>
    </row>
    <row r="14" spans="2:6" ht="12.75">
      <c r="B14" s="20" t="s">
        <v>85</v>
      </c>
      <c r="C14" s="58">
        <f>EPortfolio($C$5,$C$6,$C$7,$C$8,$C$9,,$C$10,$H$7:$L$10,0)</f>
        <v>55246.489199363845</v>
      </c>
      <c r="F14" s="46"/>
    </row>
    <row r="15" spans="2:3" ht="12.75">
      <c r="B15" s="20" t="s">
        <v>50</v>
      </c>
      <c r="C15" s="95">
        <f>EPortfolio($C$5,$C$6,$C$7,$C$8,$C$9,,$C$10,$H$7:$L$10,1)</f>
        <v>486.4198776572192</v>
      </c>
    </row>
    <row r="16" spans="2:3" ht="13.5" thickBot="1">
      <c r="B16" s="13" t="s">
        <v>69</v>
      </c>
      <c r="C16" s="96">
        <f>EPortfolio($C$5,$C$6,$C$7,$C$8,$C$9,,$C$10,$H$7:$L$10,2)</f>
        <v>127.86837573429594</v>
      </c>
    </row>
    <row r="17" ht="13.5" thickBot="1"/>
    <row r="18" spans="1:3" ht="13.5" thickBot="1">
      <c r="A18" s="147" t="s">
        <v>87</v>
      </c>
      <c r="B18" s="148" t="s">
        <v>98</v>
      </c>
      <c r="C18" s="149">
        <f>NORMSINV(0.01)*C6*C11*C15</f>
        <v>-1047.8594555314455</v>
      </c>
    </row>
    <row r="19" ht="13.5" thickBot="1"/>
    <row r="20" spans="1:9" ht="12.75">
      <c r="A20" s="138" t="s">
        <v>88</v>
      </c>
      <c r="B20" s="24" t="s">
        <v>89</v>
      </c>
      <c r="C20" s="139">
        <f>0.5*C6^2*C16*C11^2</f>
        <v>54.823566096079375</v>
      </c>
      <c r="D20" s="24"/>
      <c r="E20" s="41" t="s">
        <v>92</v>
      </c>
      <c r="F20" s="139">
        <f>C20</f>
        <v>54.823566096079375</v>
      </c>
      <c r="G20" s="24"/>
      <c r="H20" s="41" t="s">
        <v>96</v>
      </c>
      <c r="I20" s="140">
        <f>NORMSINV(0.01)</f>
        <v>-2.3263478740408488</v>
      </c>
    </row>
    <row r="21" spans="1:9" ht="12.75">
      <c r="A21" s="1"/>
      <c r="B21" s="29" t="s">
        <v>90</v>
      </c>
      <c r="C21" s="141">
        <f>C6^2*C15^2*C11^2+0.75*C6^4*C16^2*C11^4</f>
        <v>211905.05520187854</v>
      </c>
      <c r="D21" s="29"/>
      <c r="E21" s="104" t="s">
        <v>94</v>
      </c>
      <c r="F21" s="141">
        <f>SQRT(C21-C20^2)</f>
        <v>457.05517369611664</v>
      </c>
      <c r="G21" s="29"/>
      <c r="H21" s="23" t="s">
        <v>95</v>
      </c>
      <c r="I21" s="142">
        <f>I20+(I20^2-1)*F22/6</f>
        <v>-1.8022191826042628</v>
      </c>
    </row>
    <row r="22" spans="1:9" ht="12.75">
      <c r="A22" s="1"/>
      <c r="B22" s="29" t="s">
        <v>91</v>
      </c>
      <c r="C22" s="23">
        <f>4.5*C6^4*C15^2*C16*C11^4+(15/8)*C6^6*C16^3*C11^6</f>
        <v>102579169.28235869</v>
      </c>
      <c r="D22" s="29"/>
      <c r="E22" s="23" t="s">
        <v>93</v>
      </c>
      <c r="F22" s="31">
        <f>(C22-3*C21*F20+2*F20^3)/F21^3</f>
        <v>0.7127940610917932</v>
      </c>
      <c r="G22" s="29"/>
      <c r="H22" s="29"/>
      <c r="I22" s="11"/>
    </row>
    <row r="23" spans="1:9" ht="12.75">
      <c r="A23" s="1"/>
      <c r="B23" s="29"/>
      <c r="C23" s="29"/>
      <c r="D23" s="29"/>
      <c r="E23" s="29"/>
      <c r="F23" s="29"/>
      <c r="G23" s="29"/>
      <c r="H23" s="29"/>
      <c r="I23" s="11"/>
    </row>
    <row r="24" spans="1:9" ht="13.5" thickBot="1">
      <c r="A24" s="143"/>
      <c r="B24" s="144" t="s">
        <v>98</v>
      </c>
      <c r="C24" s="145">
        <f>F20+I21*F21</f>
        <v>-768.8900354475853</v>
      </c>
      <c r="D24" s="30"/>
      <c r="E24" s="30"/>
      <c r="F24" s="30"/>
      <c r="G24" s="30"/>
      <c r="H24" s="30"/>
      <c r="I24" s="146"/>
    </row>
    <row r="26" spans="1:2" ht="13.5" thickBot="1">
      <c r="A26" s="18" t="s">
        <v>99</v>
      </c>
      <c r="B26" t="s">
        <v>297</v>
      </c>
    </row>
    <row r="27" spans="1:8" ht="12.75">
      <c r="A27" s="150"/>
      <c r="B27" s="151" t="s">
        <v>98</v>
      </c>
      <c r="C27" s="152">
        <f>PERCENTILE($E$30:$E$1028,0.01)-$C$14</f>
        <v>-783.7042734644565</v>
      </c>
      <c r="D27" s="24"/>
      <c r="E27" s="116"/>
      <c r="H27" s="47"/>
    </row>
    <row r="28" spans="1:5" ht="12.75">
      <c r="A28" s="1"/>
      <c r="B28" s="29"/>
      <c r="C28" s="153"/>
      <c r="D28" s="29"/>
      <c r="E28" s="8" t="s">
        <v>86</v>
      </c>
    </row>
    <row r="29" spans="1:10" ht="12.75">
      <c r="A29" s="154" t="s">
        <v>296</v>
      </c>
      <c r="B29" s="23" t="s">
        <v>0</v>
      </c>
      <c r="C29" s="29"/>
      <c r="D29" s="29"/>
      <c r="E29" s="8" t="s">
        <v>85</v>
      </c>
      <c r="J29" s="2"/>
    </row>
    <row r="30" spans="1:8" ht="12.75">
      <c r="A30" s="1">
        <v>0.001</v>
      </c>
      <c r="B30" s="29">
        <f>$C$6+NORMSINV($A30)*$C$11*$C$6</f>
        <v>46.13840483856185</v>
      </c>
      <c r="C30" s="29"/>
      <c r="D30" s="29"/>
      <c r="E30" s="58">
        <f>EPortfolio($C$5+1/252,$B30,$C$7,$C$8,$C$9,,$C$10,$H$7:$L$10,0)</f>
        <v>54342.53655378229</v>
      </c>
      <c r="H30" s="46"/>
    </row>
    <row r="31" spans="1:8" ht="12.75">
      <c r="A31" s="1">
        <v>0.002</v>
      </c>
      <c r="B31" s="29">
        <f aca="true" t="shared" si="0" ref="B31:B94">$C$6+NORMSINV($A31)*$C$11*$C$6</f>
        <v>46.33478493186625</v>
      </c>
      <c r="C31" s="29"/>
      <c r="D31" s="29"/>
      <c r="E31" s="58">
        <f aca="true" t="shared" si="1" ref="E31:E94">EPortfolio($C$5+1/252,$B31,$C$7,$C$8,$C$9,,$C$10,$H$7:$L$10,0)</f>
        <v>54367.74191619061</v>
      </c>
      <c r="H31" s="46"/>
    </row>
    <row r="32" spans="1:8" ht="12.75">
      <c r="A32" s="1">
        <v>0.003</v>
      </c>
      <c r="B32" s="29">
        <f t="shared" si="0"/>
        <v>46.45551882892902</v>
      </c>
      <c r="C32" s="29"/>
      <c r="D32" s="29"/>
      <c r="E32" s="58">
        <f t="shared" si="1"/>
        <v>54385.628576252246</v>
      </c>
      <c r="H32" s="46"/>
    </row>
    <row r="33" spans="1:8" ht="12.75">
      <c r="A33" s="1">
        <v>0.004</v>
      </c>
      <c r="B33" s="29">
        <f t="shared" si="0"/>
        <v>46.54414899004777</v>
      </c>
      <c r="C33" s="29"/>
      <c r="D33" s="29"/>
      <c r="E33" s="58">
        <f t="shared" si="1"/>
        <v>54399.92448845091</v>
      </c>
      <c r="H33" s="46"/>
    </row>
    <row r="34" spans="1:8" ht="12.75">
      <c r="A34" s="1">
        <v>0.005</v>
      </c>
      <c r="B34" s="29">
        <f t="shared" si="0"/>
        <v>46.614748685069905</v>
      </c>
      <c r="C34" s="29"/>
      <c r="D34" s="29"/>
      <c r="E34" s="58">
        <f t="shared" si="1"/>
        <v>54412.02080680594</v>
      </c>
      <c r="H34" s="46"/>
    </row>
    <row r="35" spans="1:8" ht="12.75">
      <c r="A35" s="1">
        <v>0.006</v>
      </c>
      <c r="B35" s="29">
        <f t="shared" si="0"/>
        <v>46.67372179777807</v>
      </c>
      <c r="C35" s="29"/>
      <c r="D35" s="29"/>
      <c r="E35" s="58">
        <f t="shared" si="1"/>
        <v>54422.608133242116</v>
      </c>
      <c r="H35" s="46"/>
    </row>
    <row r="36" spans="1:8" ht="12.75">
      <c r="A36" s="1">
        <v>0.007</v>
      </c>
      <c r="B36" s="29">
        <f t="shared" si="0"/>
        <v>46.72454225730653</v>
      </c>
      <c r="C36" s="29"/>
      <c r="D36" s="29"/>
      <c r="E36" s="58">
        <f t="shared" si="1"/>
        <v>54432.08534828785</v>
      </c>
      <c r="H36" s="46"/>
    </row>
    <row r="37" spans="1:8" ht="12.75">
      <c r="A37" s="1">
        <v>0.008</v>
      </c>
      <c r="B37" s="29">
        <f t="shared" si="0"/>
        <v>46.7693129877452</v>
      </c>
      <c r="C37" s="29"/>
      <c r="D37" s="29"/>
      <c r="E37" s="58">
        <f t="shared" si="1"/>
        <v>54440.70602557013</v>
      </c>
      <c r="H37" s="46"/>
    </row>
    <row r="38" spans="1:8" ht="12.75">
      <c r="A38" s="1">
        <v>0.009000000000000001</v>
      </c>
      <c r="B38" s="29">
        <f t="shared" si="0"/>
        <v>46.809406958779725</v>
      </c>
      <c r="C38" s="29"/>
      <c r="D38" s="29"/>
      <c r="E38" s="58">
        <f t="shared" si="1"/>
        <v>54448.64248569393</v>
      </c>
      <c r="H38" s="46"/>
    </row>
    <row r="39" spans="1:8" ht="12.75">
      <c r="A39" s="1">
        <v>0.01</v>
      </c>
      <c r="B39" s="29">
        <f t="shared" si="0"/>
        <v>46.84577172179244</v>
      </c>
      <c r="C39" s="29"/>
      <c r="D39" s="29"/>
      <c r="E39" s="58">
        <f t="shared" si="1"/>
        <v>54456.01774739417</v>
      </c>
      <c r="H39" s="46"/>
    </row>
    <row r="40" spans="1:8" ht="12.75">
      <c r="A40" s="1">
        <v>0.011</v>
      </c>
      <c r="B40" s="29">
        <f t="shared" si="0"/>
        <v>46.87908966452047</v>
      </c>
      <c r="C40" s="29"/>
      <c r="D40" s="29"/>
      <c r="E40" s="58">
        <f t="shared" si="1"/>
        <v>54462.92303158317</v>
      </c>
      <c r="H40" s="46"/>
    </row>
    <row r="41" spans="1:8" ht="12.75">
      <c r="A41" s="1">
        <v>0.012</v>
      </c>
      <c r="B41" s="29">
        <f t="shared" si="0"/>
        <v>46.909869069755416</v>
      </c>
      <c r="C41" s="29"/>
      <c r="D41" s="29"/>
      <c r="E41" s="58">
        <f t="shared" si="1"/>
        <v>54469.428053575044</v>
      </c>
      <c r="H41" s="46"/>
    </row>
    <row r="42" spans="1:8" ht="12.75">
      <c r="A42" s="1">
        <v>0.013000000000000001</v>
      </c>
      <c r="B42" s="29">
        <f t="shared" si="0"/>
        <v>46.93849905241758</v>
      </c>
      <c r="C42" s="29"/>
      <c r="D42" s="29"/>
      <c r="E42" s="58">
        <f t="shared" si="1"/>
        <v>54475.58741989178</v>
      </c>
      <c r="H42" s="46"/>
    </row>
    <row r="43" spans="1:8" ht="12.75">
      <c r="A43" s="1">
        <v>0.014000000000000002</v>
      </c>
      <c r="B43" s="29">
        <f t="shared" si="0"/>
        <v>46.965284340876146</v>
      </c>
      <c r="C43" s="29"/>
      <c r="D43" s="29"/>
      <c r="E43" s="58">
        <f t="shared" si="1"/>
        <v>54481.44478588271</v>
      </c>
      <c r="H43" s="46"/>
    </row>
    <row r="44" spans="1:8" ht="12.75">
      <c r="A44" s="1">
        <v>0.015</v>
      </c>
      <c r="B44" s="29">
        <f t="shared" si="0"/>
        <v>46.990468188431954</v>
      </c>
      <c r="C44" s="29"/>
      <c r="D44" s="29"/>
      <c r="E44" s="58">
        <f t="shared" si="1"/>
        <v>54487.035659548244</v>
      </c>
      <c r="H44" s="46"/>
    </row>
    <row r="45" spans="1:8" ht="12.75">
      <c r="A45" s="1">
        <v>0.016</v>
      </c>
      <c r="B45" s="29">
        <f t="shared" si="0"/>
        <v>47.01424797589158</v>
      </c>
      <c r="C45" s="29"/>
      <c r="D45" s="29"/>
      <c r="E45" s="58">
        <f t="shared" si="1"/>
        <v>54492.389351889055</v>
      </c>
      <c r="H45" s="46"/>
    </row>
    <row r="46" spans="1:8" ht="12.75">
      <c r="A46" s="1">
        <v>0.017</v>
      </c>
      <c r="B46" s="29">
        <f t="shared" si="0"/>
        <v>47.036786141559816</v>
      </c>
      <c r="C46" s="29"/>
      <c r="D46" s="29"/>
      <c r="E46" s="58">
        <f t="shared" si="1"/>
        <v>54497.530369871296</v>
      </c>
      <c r="H46" s="46"/>
    </row>
    <row r="47" spans="1:8" ht="12.75">
      <c r="A47" s="1">
        <v>0.018000000000000002</v>
      </c>
      <c r="B47" s="29">
        <f t="shared" si="0"/>
        <v>47.0582180267784</v>
      </c>
      <c r="C47" s="29"/>
      <c r="D47" s="29"/>
      <c r="E47" s="58">
        <f t="shared" si="1"/>
        <v>54502.47943422198</v>
      </c>
      <c r="H47" s="46"/>
    </row>
    <row r="48" spans="1:8" ht="12.75">
      <c r="A48" s="1">
        <v>0.019000000000000003</v>
      </c>
      <c r="B48" s="29">
        <f t="shared" si="0"/>
        <v>47.078657628173616</v>
      </c>
      <c r="C48" s="29"/>
      <c r="D48" s="29"/>
      <c r="E48" s="58">
        <f t="shared" si="1"/>
        <v>54507.254238015725</v>
      </c>
      <c r="H48" s="46"/>
    </row>
    <row r="49" spans="1:8" ht="12.75">
      <c r="A49" s="1">
        <v>0.02</v>
      </c>
      <c r="B49" s="29">
        <f t="shared" si="0"/>
        <v>47.09820189448443</v>
      </c>
      <c r="C49" s="29"/>
      <c r="D49" s="29"/>
      <c r="E49" s="58">
        <f t="shared" si="1"/>
        <v>54511.87002203288</v>
      </c>
      <c r="H49" s="46"/>
    </row>
    <row r="50" spans="1:8" ht="12.75">
      <c r="A50" s="1">
        <v>0.021</v>
      </c>
      <c r="B50" s="29">
        <f t="shared" si="0"/>
        <v>47.11693398966312</v>
      </c>
      <c r="C50" s="29"/>
      <c r="D50" s="29"/>
      <c r="E50" s="58">
        <f t="shared" si="1"/>
        <v>54516.340017960145</v>
      </c>
      <c r="H50" s="46"/>
    </row>
    <row r="51" spans="1:8" ht="12.75">
      <c r="A51" s="1">
        <v>0.022000000000000002</v>
      </c>
      <c r="B51" s="29">
        <f t="shared" si="0"/>
        <v>47.13492580772495</v>
      </c>
      <c r="C51" s="29"/>
      <c r="D51" s="29"/>
      <c r="E51" s="58">
        <f t="shared" si="1"/>
        <v>54520.675794546594</v>
      </c>
      <c r="H51" s="46"/>
    </row>
    <row r="52" spans="1:8" ht="12.75">
      <c r="A52" s="1">
        <v>0.023</v>
      </c>
      <c r="B52" s="29">
        <f t="shared" si="0"/>
        <v>47.15223993673688</v>
      </c>
      <c r="C52" s="29"/>
      <c r="D52" s="29"/>
      <c r="E52" s="58">
        <f t="shared" si="1"/>
        <v>54524.88753134695</v>
      </c>
      <c r="H52" s="46"/>
    </row>
    <row r="53" spans="1:8" ht="12.75">
      <c r="A53" s="1">
        <v>0.024</v>
      </c>
      <c r="B53" s="29">
        <f t="shared" si="0"/>
        <v>47.16893121103796</v>
      </c>
      <c r="C53" s="29"/>
      <c r="D53" s="29"/>
      <c r="E53" s="58">
        <f t="shared" si="1"/>
        <v>54528.984237645804</v>
      </c>
      <c r="H53" s="46"/>
    </row>
    <row r="54" spans="1:8" ht="12.75">
      <c r="A54" s="1">
        <v>0.025</v>
      </c>
      <c r="B54" s="29">
        <f t="shared" si="0"/>
        <v>47.18504795139232</v>
      </c>
      <c r="C54" s="29"/>
      <c r="D54" s="29"/>
      <c r="E54" s="58">
        <f t="shared" si="1"/>
        <v>54532.97392933636</v>
      </c>
      <c r="H54" s="46"/>
    </row>
    <row r="55" spans="1:8" ht="12.75">
      <c r="A55" s="1">
        <v>0.026000000000000002</v>
      </c>
      <c r="B55" s="29">
        <f t="shared" si="0"/>
        <v>47.200632965653966</v>
      </c>
      <c r="C55" s="29"/>
      <c r="D55" s="29"/>
      <c r="E55" s="58">
        <f t="shared" si="1"/>
        <v>54536.86377316456</v>
      </c>
      <c r="H55" s="46"/>
    </row>
    <row r="56" spans="1:8" ht="12.75">
      <c r="A56" s="1">
        <v>0.027000000000000003</v>
      </c>
      <c r="B56" s="29">
        <f t="shared" si="0"/>
        <v>47.21572436352793</v>
      </c>
      <c r="C56" s="29"/>
      <c r="D56" s="29"/>
      <c r="E56" s="58">
        <f t="shared" si="1"/>
        <v>54540.66020536713</v>
      </c>
      <c r="H56" s="46"/>
    </row>
    <row r="57" spans="1:8" ht="12.75">
      <c r="A57" s="1">
        <v>0.028</v>
      </c>
      <c r="B57" s="29">
        <f t="shared" si="0"/>
        <v>47.230356225502014</v>
      </c>
      <c r="C57" s="29"/>
      <c r="D57" s="29"/>
      <c r="E57" s="58">
        <f t="shared" si="1"/>
        <v>54544.3690300166</v>
      </c>
      <c r="H57" s="46"/>
    </row>
    <row r="58" spans="1:8" ht="12.75">
      <c r="A58" s="1">
        <v>0.029</v>
      </c>
      <c r="B58" s="29">
        <f t="shared" si="0"/>
        <v>47.244559156275656</v>
      </c>
      <c r="C58" s="29"/>
      <c r="D58" s="29"/>
      <c r="E58" s="58">
        <f t="shared" si="1"/>
        <v>54547.99550113589</v>
      </c>
      <c r="H58" s="46"/>
    </row>
    <row r="59" spans="1:8" ht="12.75">
      <c r="A59" s="1">
        <v>0.03</v>
      </c>
      <c r="B59" s="29">
        <f t="shared" si="0"/>
        <v>47.258360745887174</v>
      </c>
      <c r="C59" s="29"/>
      <c r="D59" s="29"/>
      <c r="E59" s="58">
        <f t="shared" si="1"/>
        <v>54551.54439172178</v>
      </c>
      <c r="H59" s="46"/>
    </row>
    <row r="60" spans="1:8" ht="12.75">
      <c r="A60" s="1">
        <v>0.031</v>
      </c>
      <c r="B60" s="29">
        <f t="shared" si="0"/>
        <v>47.271785956469</v>
      </c>
      <c r="C60" s="29"/>
      <c r="D60" s="29"/>
      <c r="E60" s="58">
        <f t="shared" si="1"/>
        <v>54555.02005212515</v>
      </c>
      <c r="H60" s="46"/>
    </row>
    <row r="61" spans="1:8" ht="12.75">
      <c r="A61" s="1">
        <v>0.032</v>
      </c>
      <c r="B61" s="29">
        <f t="shared" si="0"/>
        <v>47.284857448617025</v>
      </c>
      <c r="C61" s="29"/>
      <c r="D61" s="29"/>
      <c r="E61" s="58">
        <f t="shared" si="1"/>
        <v>54558.42645971617</v>
      </c>
      <c r="H61" s="46"/>
    </row>
    <row r="62" spans="1:8" ht="12.75">
      <c r="A62" s="1">
        <v>0.033</v>
      </c>
      <c r="B62" s="29">
        <f t="shared" si="0"/>
        <v>47.297595858378436</v>
      </c>
      <c r="C62" s="29"/>
      <c r="D62" s="29"/>
      <c r="E62" s="58">
        <f t="shared" si="1"/>
        <v>54561.767261362984</v>
      </c>
      <c r="H62" s="46"/>
    </row>
    <row r="63" spans="1:8" ht="12.75">
      <c r="A63" s="1">
        <v>0.034</v>
      </c>
      <c r="B63" s="29">
        <f t="shared" si="0"/>
        <v>47.31002003358753</v>
      </c>
      <c r="C63" s="29"/>
      <c r="D63" s="29"/>
      <c r="E63" s="58">
        <f t="shared" si="1"/>
        <v>54565.04580994851</v>
      </c>
      <c r="H63" s="46"/>
    </row>
    <row r="64" spans="1:8" ht="12.75">
      <c r="A64" s="1">
        <v>0.035</v>
      </c>
      <c r="B64" s="29">
        <f t="shared" si="0"/>
        <v>47.322147236526305</v>
      </c>
      <c r="C64" s="29"/>
      <c r="D64" s="29"/>
      <c r="E64" s="58">
        <f t="shared" si="1"/>
        <v>54568.2651959099</v>
      </c>
      <c r="H64" s="46"/>
    </row>
    <row r="65" spans="1:8" ht="12.75">
      <c r="A65" s="1">
        <v>0.036000000000000004</v>
      </c>
      <c r="B65" s="29">
        <f t="shared" si="0"/>
        <v>47.33399331852569</v>
      </c>
      <c r="C65" s="29"/>
      <c r="D65" s="29"/>
      <c r="E65" s="58">
        <f t="shared" si="1"/>
        <v>54571.428274601116</v>
      </c>
      <c r="H65" s="46"/>
    </row>
    <row r="66" spans="1:8" ht="12.75">
      <c r="A66" s="1">
        <v>0.037000000000000005</v>
      </c>
      <c r="B66" s="29">
        <f t="shared" si="0"/>
        <v>47.345572871058046</v>
      </c>
      <c r="C66" s="29"/>
      <c r="D66" s="29"/>
      <c r="E66" s="58">
        <f t="shared" si="1"/>
        <v>54574.537690130506</v>
      </c>
      <c r="H66" s="46"/>
    </row>
    <row r="67" spans="1:8" ht="12.75">
      <c r="A67" s="1">
        <v>0.038</v>
      </c>
      <c r="B67" s="29">
        <f t="shared" si="0"/>
        <v>47.35689935703144</v>
      </c>
      <c r="C67" s="29"/>
      <c r="D67" s="29"/>
      <c r="E67" s="58">
        <f t="shared" si="1"/>
        <v>54577.595896210034</v>
      </c>
      <c r="H67" s="46"/>
    </row>
    <row r="68" spans="1:8" ht="12.75">
      <c r="A68" s="1">
        <v>0.039</v>
      </c>
      <c r="B68" s="29">
        <f t="shared" si="0"/>
        <v>47.367985225328894</v>
      </c>
      <c r="C68" s="29"/>
      <c r="D68" s="29"/>
      <c r="E68" s="58">
        <f t="shared" si="1"/>
        <v>54580.60517445829</v>
      </c>
      <c r="H68" s="46"/>
    </row>
    <row r="69" spans="1:8" ht="12.75">
      <c r="A69" s="1">
        <v>0.04</v>
      </c>
      <c r="B69" s="29">
        <f t="shared" si="0"/>
        <v>47.37884201110272</v>
      </c>
      <c r="C69" s="29"/>
      <c r="D69" s="29"/>
      <c r="E69" s="58">
        <f t="shared" si="1"/>
        <v>54583.5676505251</v>
      </c>
      <c r="H69" s="46"/>
    </row>
    <row r="70" spans="1:8" ht="12.75">
      <c r="A70" s="1">
        <v>0.041</v>
      </c>
      <c r="B70" s="29">
        <f t="shared" si="0"/>
        <v>47.38948042390488</v>
      </c>
      <c r="C70" s="29"/>
      <c r="D70" s="29"/>
      <c r="E70" s="58">
        <f t="shared" si="1"/>
        <v>54586.48530834443</v>
      </c>
      <c r="H70" s="46"/>
    </row>
    <row r="71" spans="1:8" ht="12.75">
      <c r="A71" s="1">
        <v>0.042</v>
      </c>
      <c r="B71" s="29">
        <f t="shared" si="0"/>
        <v>47.39991042538757</v>
      </c>
      <c r="C71" s="29"/>
      <c r="D71" s="29"/>
      <c r="E71" s="58">
        <f t="shared" si="1"/>
        <v>54589.36000277264</v>
      </c>
      <c r="H71" s="46"/>
    </row>
    <row r="72" spans="1:8" ht="12.75">
      <c r="A72" s="1">
        <v>0.043000000000000003</v>
      </c>
      <c r="B72" s="29">
        <f t="shared" si="0"/>
        <v>47.410141298025664</v>
      </c>
      <c r="C72" s="29"/>
      <c r="D72" s="29"/>
      <c r="E72" s="58">
        <f t="shared" si="1"/>
        <v>54592.19347082875</v>
      </c>
      <c r="H72" s="46"/>
    </row>
    <row r="73" spans="1:8" ht="12.75">
      <c r="A73" s="1">
        <v>0.044000000000000004</v>
      </c>
      <c r="B73" s="29">
        <f t="shared" si="0"/>
        <v>47.42018170608178</v>
      </c>
      <c r="C73" s="29"/>
      <c r="D73" s="29"/>
      <c r="E73" s="58">
        <f t="shared" si="1"/>
        <v>54594.98734171998</v>
      </c>
      <c r="H73" s="46"/>
    </row>
    <row r="74" spans="1:8" ht="12.75">
      <c r="A74" s="1">
        <v>0.045</v>
      </c>
      <c r="B74" s="29">
        <f t="shared" si="0"/>
        <v>47.43003974984506</v>
      </c>
      <c r="C74" s="29"/>
      <c r="D74" s="29"/>
      <c r="E74" s="58">
        <f t="shared" si="1"/>
        <v>54597.74314580827</v>
      </c>
      <c r="H74" s="46"/>
    </row>
    <row r="75" spans="1:8" ht="12.75">
      <c r="A75" s="1">
        <v>0.046</v>
      </c>
      <c r="B75" s="29">
        <f t="shared" si="0"/>
        <v>47.439723014017844</v>
      </c>
      <c r="C75" s="29"/>
      <c r="D75" s="29"/>
      <c r="E75" s="58">
        <f t="shared" si="1"/>
        <v>54600.46232265021</v>
      </c>
      <c r="H75" s="46"/>
    </row>
    <row r="76" spans="1:8" ht="12.75">
      <c r="A76" s="1">
        <v>0.047</v>
      </c>
      <c r="B76" s="29">
        <f t="shared" si="0"/>
        <v>47.44923861099452</v>
      </c>
      <c r="C76" s="29"/>
      <c r="D76" s="29"/>
      <c r="E76" s="58">
        <f t="shared" si="1"/>
        <v>54603.14622822435</v>
      </c>
      <c r="H76" s="46"/>
    </row>
    <row r="77" spans="1:8" ht="12.75">
      <c r="A77" s="1">
        <v>0.048</v>
      </c>
      <c r="B77" s="29">
        <f t="shared" si="0"/>
        <v>47.45859321966822</v>
      </c>
      <c r="C77" s="29"/>
      <c r="D77" s="29"/>
      <c r="E77" s="58">
        <f t="shared" si="1"/>
        <v>54605.796141443156</v>
      </c>
      <c r="H77" s="46"/>
    </row>
    <row r="78" spans="1:8" ht="12.75">
      <c r="A78" s="1">
        <v>0.049</v>
      </c>
      <c r="B78" s="29">
        <f t="shared" si="0"/>
        <v>47.4677931203107</v>
      </c>
      <c r="C78" s="29"/>
      <c r="D78" s="29"/>
      <c r="E78" s="58">
        <f t="shared" si="1"/>
        <v>54608.413270033794</v>
      </c>
      <c r="H78" s="46"/>
    </row>
    <row r="79" spans="1:8" ht="12.75">
      <c r="A79" s="1">
        <v>0.05</v>
      </c>
      <c r="B79" s="29">
        <f t="shared" si="0"/>
        <v>47.47684422599433</v>
      </c>
      <c r="C79" s="29"/>
      <c r="D79" s="29"/>
      <c r="E79" s="58">
        <f t="shared" si="1"/>
        <v>54610.99875586054</v>
      </c>
      <c r="H79" s="46"/>
    </row>
    <row r="80" spans="1:8" ht="12.75">
      <c r="A80" s="1">
        <v>0.051000000000000004</v>
      </c>
      <c r="B80" s="29">
        <f t="shared" si="0"/>
        <v>47.485752110960824</v>
      </c>
      <c r="C80" s="29"/>
      <c r="D80" s="29"/>
      <c r="E80" s="58">
        <f t="shared" si="1"/>
        <v>54613.553679751574</v>
      </c>
      <c r="H80" s="46"/>
    </row>
    <row r="81" spans="1:8" ht="12.75">
      <c r="A81" s="1">
        <v>0.052000000000000005</v>
      </c>
      <c r="B81" s="29">
        <f t="shared" si="0"/>
        <v>47.494522036287414</v>
      </c>
      <c r="C81" s="29"/>
      <c r="D81" s="29"/>
      <c r="E81" s="58">
        <f t="shared" si="1"/>
        <v>54616.07906588536</v>
      </c>
      <c r="H81" s="46"/>
    </row>
    <row r="82" spans="1:8" ht="12.75">
      <c r="A82" s="1">
        <v>0.053000000000000005</v>
      </c>
      <c r="B82" s="29">
        <f t="shared" si="0"/>
        <v>47.50315897315448</v>
      </c>
      <c r="C82" s="29"/>
      <c r="D82" s="29"/>
      <c r="E82" s="58">
        <f t="shared" si="1"/>
        <v>54618.57588578417</v>
      </c>
      <c r="H82" s="46"/>
    </row>
    <row r="83" spans="1:8" ht="12.75">
      <c r="A83" s="1">
        <v>0.054</v>
      </c>
      <c r="B83" s="29">
        <f t="shared" si="0"/>
        <v>47.51166762397972</v>
      </c>
      <c r="C83" s="29"/>
      <c r="D83" s="29"/>
      <c r="E83" s="58">
        <f t="shared" si="1"/>
        <v>54621.04506195684</v>
      </c>
      <c r="H83" s="46"/>
    </row>
    <row r="84" spans="1:8" ht="12.75">
      <c r="A84" s="1">
        <v>0.055</v>
      </c>
      <c r="B84" s="29">
        <f t="shared" si="0"/>
        <v>47.52005244165017</v>
      </c>
      <c r="C84" s="29"/>
      <c r="D84" s="29"/>
      <c r="E84" s="58">
        <f t="shared" si="1"/>
        <v>54623.48747122713</v>
      </c>
      <c r="H84" s="46"/>
    </row>
    <row r="85" spans="1:8" ht="12.75">
      <c r="A85" s="1">
        <v>0.056</v>
      </c>
      <c r="B85" s="29">
        <f t="shared" si="0"/>
        <v>47.5283176470546</v>
      </c>
      <c r="C85" s="29"/>
      <c r="D85" s="29"/>
      <c r="E85" s="58">
        <f t="shared" si="1"/>
        <v>54625.90394778041</v>
      </c>
      <c r="H85" s="46"/>
    </row>
    <row r="86" spans="1:8" ht="12.75">
      <c r="A86" s="1">
        <v>0.057</v>
      </c>
      <c r="B86" s="29">
        <f t="shared" si="0"/>
        <v>47.53646724509403</v>
      </c>
      <c r="C86" s="29"/>
      <c r="D86" s="29"/>
      <c r="E86" s="58">
        <f t="shared" si="1"/>
        <v>54628.29528595666</v>
      </c>
      <c r="H86" s="46"/>
    </row>
    <row r="87" spans="1:8" ht="12.75">
      <c r="A87" s="1">
        <v>0.058</v>
      </c>
      <c r="B87" s="29">
        <f t="shared" si="0"/>
        <v>47.54450503932675</v>
      </c>
      <c r="C87" s="29"/>
      <c r="D87" s="29"/>
      <c r="E87" s="58">
        <f t="shared" si="1"/>
        <v>54630.66224281533</v>
      </c>
      <c r="H87" s="46"/>
    </row>
    <row r="88" spans="1:8" ht="12.75">
      <c r="A88" s="1">
        <v>0.059000000000000004</v>
      </c>
      <c r="B88" s="29">
        <f t="shared" si="0"/>
        <v>47.55243464538573</v>
      </c>
      <c r="C88" s="29"/>
      <c r="D88" s="29"/>
      <c r="E88" s="58">
        <f t="shared" si="1"/>
        <v>54633.0055404939</v>
      </c>
      <c r="H88" s="46"/>
    </row>
    <row r="89" spans="1:8" ht="12.75">
      <c r="A89" s="1">
        <v>0.06</v>
      </c>
      <c r="B89" s="29">
        <f t="shared" si="0"/>
        <v>47.56025950329037</v>
      </c>
      <c r="C89" s="29"/>
      <c r="D89" s="29"/>
      <c r="E89" s="58">
        <f t="shared" si="1"/>
        <v>54635.325868380314</v>
      </c>
      <c r="H89" s="46"/>
    </row>
    <row r="90" spans="1:8" ht="12.75">
      <c r="A90" s="1">
        <v>0.061</v>
      </c>
      <c r="B90" s="29">
        <f t="shared" si="0"/>
        <v>47.567982888760426</v>
      </c>
      <c r="C90" s="29"/>
      <c r="D90" s="29"/>
      <c r="E90" s="58">
        <f t="shared" si="1"/>
        <v>54637.62388511642</v>
      </c>
      <c r="H90" s="46"/>
    </row>
    <row r="91" spans="1:8" ht="12.75">
      <c r="A91" s="1">
        <v>0.062</v>
      </c>
      <c r="B91" s="29">
        <f t="shared" si="0"/>
        <v>47.575607923628105</v>
      </c>
      <c r="C91" s="29"/>
      <c r="D91" s="29"/>
      <c r="E91" s="58">
        <f t="shared" si="1"/>
        <v>54639.900220448486</v>
      </c>
      <c r="H91" s="46"/>
    </row>
    <row r="92" spans="1:8" ht="12.75">
      <c r="A92" s="1">
        <v>0.063</v>
      </c>
      <c r="B92" s="29">
        <f t="shared" si="0"/>
        <v>47.58313758543342</v>
      </c>
      <c r="C92" s="29"/>
      <c r="D92" s="29"/>
      <c r="E92" s="58">
        <f t="shared" si="1"/>
        <v>54642.15547693828</v>
      </c>
      <c r="H92" s="46"/>
    </row>
    <row r="93" spans="1:8" ht="12.75">
      <c r="A93" s="1">
        <v>0.064</v>
      </c>
      <c r="B93" s="29">
        <f t="shared" si="0"/>
        <v>47.59057471627884</v>
      </c>
      <c r="C93" s="29"/>
      <c r="D93" s="29"/>
      <c r="E93" s="58">
        <f t="shared" si="1"/>
        <v>54644.390231547775</v>
      </c>
      <c r="H93" s="46"/>
    </row>
    <row r="94" spans="1:8" ht="12.75">
      <c r="A94" s="1">
        <v>0.065</v>
      </c>
      <c r="B94" s="29">
        <f t="shared" si="0"/>
        <v>47.597922031011066</v>
      </c>
      <c r="C94" s="29"/>
      <c r="D94" s="29"/>
      <c r="E94" s="58">
        <f t="shared" si="1"/>
        <v>54646.60503710812</v>
      </c>
      <c r="H94" s="46"/>
    </row>
    <row r="95" spans="1:8" ht="12.75">
      <c r="A95" s="1">
        <v>0.066</v>
      </c>
      <c r="B95" s="29">
        <f aca="true" t="shared" si="2" ref="B95:B158">$C$6+NORMSINV($A95)*$C$11*$C$6</f>
        <v>47.60518212479056</v>
      </c>
      <c r="C95" s="29"/>
      <c r="D95" s="29"/>
      <c r="E95" s="58">
        <f aca="true" t="shared" si="3" ref="E95:E158">EPortfolio($C$5+1/252,$B95,$C$7,$C$8,$C$9,,$C$10,$H$7:$L$10,0)</f>
        <v>54648.80042368333</v>
      </c>
      <c r="H95" s="46"/>
    </row>
    <row r="96" spans="1:8" ht="12.75">
      <c r="A96" s="1">
        <v>0.067</v>
      </c>
      <c r="B96" s="29">
        <f t="shared" si="2"/>
        <v>47.6123574801032</v>
      </c>
      <c r="C96" s="29"/>
      <c r="D96" s="29"/>
      <c r="E96" s="58">
        <f t="shared" si="3"/>
        <v>54650.9768998375</v>
      </c>
      <c r="H96" s="46"/>
    </row>
    <row r="97" spans="1:8" ht="12.75">
      <c r="A97" s="1">
        <v>0.068</v>
      </c>
      <c r="B97" s="29">
        <f t="shared" si="2"/>
        <v>47.61945047326289</v>
      </c>
      <c r="C97" s="29"/>
      <c r="D97" s="29"/>
      <c r="E97" s="58">
        <f t="shared" si="3"/>
        <v>54653.13495381386</v>
      </c>
      <c r="H97" s="46"/>
    </row>
    <row r="98" spans="1:8" ht="12.75">
      <c r="A98" s="1">
        <v>0.069</v>
      </c>
      <c r="B98" s="29">
        <f t="shared" si="2"/>
        <v>47.626463380449</v>
      </c>
      <c r="C98" s="29"/>
      <c r="D98" s="29"/>
      <c r="E98" s="58">
        <f t="shared" si="3"/>
        <v>54655.275054632795</v>
      </c>
      <c r="H98" s="46"/>
    </row>
    <row r="99" spans="1:8" ht="12.75">
      <c r="A99" s="1">
        <v>0.07</v>
      </c>
      <c r="B99" s="29">
        <f t="shared" si="2"/>
        <v>47.63339838331816</v>
      </c>
      <c r="C99" s="29"/>
      <c r="D99" s="29"/>
      <c r="E99" s="58">
        <f t="shared" si="3"/>
        <v>54657.39765311571</v>
      </c>
      <c r="H99" s="46"/>
    </row>
    <row r="100" spans="1:8" ht="12.75">
      <c r="A100" s="1">
        <v>0.07100000000000001</v>
      </c>
      <c r="B100" s="29">
        <f t="shared" si="2"/>
        <v>47.64025757422594</v>
      </c>
      <c r="C100" s="29"/>
      <c r="D100" s="29"/>
      <c r="E100" s="58">
        <f t="shared" si="3"/>
        <v>54659.50318284057</v>
      </c>
      <c r="H100" s="46"/>
    </row>
    <row r="101" spans="1:8" ht="12.75">
      <c r="A101" s="1">
        <v>0.07200000000000001</v>
      </c>
      <c r="B101" s="29">
        <f t="shared" si="2"/>
        <v>47.64704296109086</v>
      </c>
      <c r="C101" s="29"/>
      <c r="D101" s="29"/>
      <c r="E101" s="58">
        <f t="shared" si="3"/>
        <v>54661.59206103464</v>
      </c>
      <c r="H101" s="46"/>
    </row>
    <row r="102" spans="1:8" ht="12.75">
      <c r="A102" s="1">
        <v>0.07300000000000001</v>
      </c>
      <c r="B102" s="29">
        <f t="shared" si="2"/>
        <v>47.653756471929626</v>
      </c>
      <c r="C102" s="29"/>
      <c r="D102" s="29"/>
      <c r="E102" s="58">
        <f t="shared" si="3"/>
        <v>54663.6646894093</v>
      </c>
      <c r="H102" s="46"/>
    </row>
    <row r="103" spans="1:8" ht="12.75">
      <c r="A103" s="1">
        <v>0.074</v>
      </c>
      <c r="B103" s="29">
        <f t="shared" si="2"/>
        <v>47.66039995909012</v>
      </c>
      <c r="C103" s="29"/>
      <c r="D103" s="29"/>
      <c r="E103" s="58">
        <f t="shared" si="3"/>
        <v>54665.721454941566</v>
      </c>
      <c r="H103" s="46"/>
    </row>
    <row r="104" spans="1:8" ht="12.75">
      <c r="A104" s="1">
        <v>0.075</v>
      </c>
      <c r="B104" s="29">
        <f t="shared" si="2"/>
        <v>47.66697520320604</v>
      </c>
      <c r="C104" s="29"/>
      <c r="D104" s="29"/>
      <c r="E104" s="58">
        <f t="shared" si="3"/>
        <v>54667.762730606155</v>
      </c>
      <c r="H104" s="46"/>
    </row>
    <row r="105" spans="1:8" ht="12.75">
      <c r="A105" s="1">
        <v>0.076</v>
      </c>
      <c r="B105" s="29">
        <f t="shared" si="2"/>
        <v>47.67348391689503</v>
      </c>
      <c r="C105" s="29"/>
      <c r="D105" s="29"/>
      <c r="E105" s="58">
        <f t="shared" si="3"/>
        <v>54669.78887606213</v>
      </c>
      <c r="H105" s="46"/>
    </row>
    <row r="106" spans="1:8" ht="12.75">
      <c r="A106" s="1">
        <v>0.077</v>
      </c>
      <c r="B106" s="29">
        <f t="shared" si="2"/>
        <v>47.67992774821993</v>
      </c>
      <c r="C106" s="29"/>
      <c r="D106" s="29"/>
      <c r="E106" s="58">
        <f t="shared" si="3"/>
        <v>54671.80023829721</v>
      </c>
      <c r="H106" s="46"/>
    </row>
    <row r="107" spans="1:8" ht="12.75">
      <c r="A107" s="1">
        <v>0.078</v>
      </c>
      <c r="B107" s="29">
        <f t="shared" si="2"/>
        <v>47.68630828393139</v>
      </c>
      <c r="C107" s="29"/>
      <c r="D107" s="29"/>
      <c r="E107" s="58">
        <f t="shared" si="3"/>
        <v>54673.797152233084</v>
      </c>
      <c r="H107" s="46"/>
    </row>
    <row r="108" spans="1:8" ht="12.75">
      <c r="A108" s="1">
        <v>0.079</v>
      </c>
      <c r="B108" s="29">
        <f t="shared" si="2"/>
        <v>47.692627052508136</v>
      </c>
      <c r="C108" s="29"/>
      <c r="D108" s="29"/>
      <c r="E108" s="58">
        <f t="shared" si="3"/>
        <v>54675.77994129447</v>
      </c>
      <c r="H108" s="46"/>
    </row>
    <row r="109" spans="1:8" ht="12.75">
      <c r="A109" s="1">
        <v>0.08</v>
      </c>
      <c r="B109" s="29">
        <f t="shared" si="2"/>
        <v>47.69888552700993</v>
      </c>
      <c r="C109" s="29"/>
      <c r="D109" s="29"/>
      <c r="E109" s="58">
        <f t="shared" si="3"/>
        <v>54677.74891794448</v>
      </c>
      <c r="H109" s="46"/>
    </row>
    <row r="110" spans="1:5" ht="12.75">
      <c r="A110" s="1">
        <v>0.081</v>
      </c>
      <c r="B110" s="29">
        <f t="shared" si="2"/>
        <v>47.70508512775704</v>
      </c>
      <c r="C110" s="29"/>
      <c r="D110" s="29"/>
      <c r="E110" s="58">
        <f t="shared" si="3"/>
        <v>54679.70438418877</v>
      </c>
    </row>
    <row r="111" spans="1:5" ht="12.75">
      <c r="A111" s="1">
        <v>0.082</v>
      </c>
      <c r="B111" s="29">
        <f t="shared" si="2"/>
        <v>47.71122722484866</v>
      </c>
      <c r="C111" s="29"/>
      <c r="D111" s="29"/>
      <c r="E111" s="58">
        <f t="shared" si="3"/>
        <v>54681.64663205059</v>
      </c>
    </row>
    <row r="112" spans="1:5" ht="12.75">
      <c r="A112" s="1">
        <v>0.083</v>
      </c>
      <c r="B112" s="29">
        <f t="shared" si="2"/>
        <v>47.71731314053195</v>
      </c>
      <c r="C112" s="29"/>
      <c r="D112" s="29"/>
      <c r="E112" s="58">
        <f t="shared" si="3"/>
        <v>54683.575944018805</v>
      </c>
    </row>
    <row r="113" spans="1:5" ht="12.75">
      <c r="A113" s="1">
        <v>0.084</v>
      </c>
      <c r="B113" s="29">
        <f t="shared" si="2"/>
        <v>47.723344151432016</v>
      </c>
      <c r="C113" s="29"/>
      <c r="D113" s="29"/>
      <c r="E113" s="58">
        <f t="shared" si="3"/>
        <v>54685.49259347056</v>
      </c>
    </row>
    <row r="114" spans="1:5" ht="12.75">
      <c r="A114" s="1">
        <v>0.085</v>
      </c>
      <c r="B114" s="29">
        <f t="shared" si="2"/>
        <v>47.72932149065283</v>
      </c>
      <c r="C114" s="29"/>
      <c r="D114" s="29"/>
      <c r="E114" s="58">
        <f t="shared" si="3"/>
        <v>54687.39684507066</v>
      </c>
    </row>
    <row r="115" spans="1:5" ht="12.75">
      <c r="A115" s="1">
        <v>0.08600000000000001</v>
      </c>
      <c r="B115" s="29">
        <f t="shared" si="2"/>
        <v>47.73524634975779</v>
      </c>
      <c r="C115" s="29"/>
      <c r="D115" s="29"/>
      <c r="E115" s="58">
        <f t="shared" si="3"/>
        <v>54689.28895514876</v>
      </c>
    </row>
    <row r="116" spans="1:5" ht="12.75">
      <c r="A116" s="1">
        <v>0.08700000000000001</v>
      </c>
      <c r="B116" s="29">
        <f t="shared" si="2"/>
        <v>47.74111988063816</v>
      </c>
      <c r="C116" s="29"/>
      <c r="D116" s="29"/>
      <c r="E116" s="58">
        <f t="shared" si="3"/>
        <v>54691.169172056216</v>
      </c>
    </row>
    <row r="117" spans="1:5" ht="12.75">
      <c r="A117" s="1">
        <v>0.08800000000000001</v>
      </c>
      <c r="B117" s="29">
        <f t="shared" si="2"/>
        <v>47.74694319727707</v>
      </c>
      <c r="C117" s="29"/>
      <c r="D117" s="29"/>
      <c r="E117" s="58">
        <f t="shared" si="3"/>
        <v>54693.037736503684</v>
      </c>
    </row>
    <row r="118" spans="1:5" ht="12.75">
      <c r="A118" s="1">
        <v>0.089</v>
      </c>
      <c r="B118" s="29">
        <f t="shared" si="2"/>
        <v>47.75271737741582</v>
      </c>
      <c r="C118" s="29"/>
      <c r="D118" s="29"/>
      <c r="E118" s="58">
        <f t="shared" si="3"/>
        <v>54694.894881880806</v>
      </c>
    </row>
    <row r="119" spans="1:5" ht="12.75">
      <c r="A119" s="1">
        <v>0.09</v>
      </c>
      <c r="B119" s="29">
        <f t="shared" si="2"/>
        <v>47.75844346412918</v>
      </c>
      <c r="C119" s="29"/>
      <c r="D119" s="29"/>
      <c r="E119" s="58">
        <f t="shared" si="3"/>
        <v>54696.74083455915</v>
      </c>
    </row>
    <row r="120" spans="1:5" ht="12.75">
      <c r="A120" s="1">
        <v>0.091</v>
      </c>
      <c r="B120" s="29">
        <f t="shared" si="2"/>
        <v>47.76412246731543</v>
      </c>
      <c r="C120" s="29"/>
      <c r="D120" s="29"/>
      <c r="E120" s="58">
        <f t="shared" si="3"/>
        <v>54698.57581417928</v>
      </c>
    </row>
    <row r="121" spans="1:5" ht="12.75">
      <c r="A121" s="1">
        <v>0.092</v>
      </c>
      <c r="B121" s="29">
        <f t="shared" si="2"/>
        <v>47.76975536510668</v>
      </c>
      <c r="C121" s="29"/>
      <c r="D121" s="29"/>
      <c r="E121" s="58">
        <f t="shared" si="3"/>
        <v>54700.40003392334</v>
      </c>
    </row>
    <row r="122" spans="1:5" ht="12.75">
      <c r="A122" s="1">
        <v>0.093</v>
      </c>
      <c r="B122" s="29">
        <f t="shared" si="2"/>
        <v>47.77534310520462</v>
      </c>
      <c r="C122" s="29"/>
      <c r="D122" s="29"/>
      <c r="E122" s="58">
        <f t="shared" si="3"/>
        <v>54702.21370077339</v>
      </c>
    </row>
    <row r="123" spans="1:5" ht="12.75">
      <c r="A123" s="1">
        <v>0.094</v>
      </c>
      <c r="B123" s="29">
        <f t="shared" si="2"/>
        <v>47.78088660614633</v>
      </c>
      <c r="C123" s="29"/>
      <c r="D123" s="29"/>
      <c r="E123" s="58">
        <f t="shared" si="3"/>
        <v>54704.01701575719</v>
      </c>
    </row>
    <row r="124" spans="1:5" ht="12.75">
      <c r="A124" s="1">
        <v>0.095</v>
      </c>
      <c r="B124" s="29">
        <f t="shared" si="2"/>
        <v>47.786386758504555</v>
      </c>
      <c r="C124" s="29"/>
      <c r="D124" s="29"/>
      <c r="E124" s="58">
        <f t="shared" si="3"/>
        <v>54705.81017418143</v>
      </c>
    </row>
    <row r="125" spans="1:5" ht="12.75">
      <c r="A125" s="1">
        <v>0.096</v>
      </c>
      <c r="B125" s="29">
        <f t="shared" si="2"/>
        <v>47.791844426026444</v>
      </c>
      <c r="C125" s="29"/>
      <c r="D125" s="29"/>
      <c r="E125" s="58">
        <f t="shared" si="3"/>
        <v>54707.59336585365</v>
      </c>
    </row>
    <row r="126" spans="1:5" ht="12.75">
      <c r="A126" s="1">
        <v>0.097</v>
      </c>
      <c r="B126" s="29">
        <f t="shared" si="2"/>
        <v>47.79726044671458</v>
      </c>
      <c r="C126" s="29"/>
      <c r="D126" s="29"/>
      <c r="E126" s="58">
        <f t="shared" si="3"/>
        <v>54709.36677529324</v>
      </c>
    </row>
    <row r="127" spans="1:5" ht="12.75">
      <c r="A127" s="1">
        <v>0.098</v>
      </c>
      <c r="B127" s="29">
        <f t="shared" si="2"/>
        <v>47.802635633853775</v>
      </c>
      <c r="C127" s="29"/>
      <c r="D127" s="29"/>
      <c r="E127" s="58">
        <f t="shared" si="3"/>
        <v>54711.13058193242</v>
      </c>
    </row>
    <row r="128" spans="1:5" ht="12.75">
      <c r="A128" s="1">
        <v>0.099</v>
      </c>
      <c r="B128" s="29">
        <f t="shared" si="2"/>
        <v>47.80797077698681</v>
      </c>
      <c r="C128" s="29"/>
      <c r="D128" s="29"/>
      <c r="E128" s="58">
        <f t="shared" si="3"/>
        <v>54712.8849603074</v>
      </c>
    </row>
    <row r="129" spans="1:5" ht="12.75">
      <c r="A129" s="1">
        <v>0.1</v>
      </c>
      <c r="B129" s="29">
        <f t="shared" si="2"/>
        <v>47.81326664284222</v>
      </c>
      <c r="C129" s="29"/>
      <c r="D129" s="29"/>
      <c r="E129" s="58">
        <f t="shared" si="3"/>
        <v>54714.63008024079</v>
      </c>
    </row>
    <row r="130" spans="1:5" ht="12.75">
      <c r="A130" s="1">
        <v>0.101</v>
      </c>
      <c r="B130" s="29">
        <f t="shared" si="2"/>
        <v>47.81852397621696</v>
      </c>
      <c r="C130" s="29"/>
      <c r="D130" s="29"/>
      <c r="E130" s="58">
        <f t="shared" si="3"/>
        <v>54716.366107015216</v>
      </c>
    </row>
    <row r="131" spans="1:5" ht="12.75">
      <c r="A131" s="1">
        <v>0.10200000000000001</v>
      </c>
      <c r="B131" s="29">
        <f t="shared" si="2"/>
        <v>47.82374350081641</v>
      </c>
      <c r="C131" s="29"/>
      <c r="D131" s="29"/>
      <c r="E131" s="58">
        <f t="shared" si="3"/>
        <v>54718.09320153906</v>
      </c>
    </row>
    <row r="132" spans="1:5" ht="12.75">
      <c r="A132" s="1">
        <v>0.10300000000000001</v>
      </c>
      <c r="B132" s="29">
        <f t="shared" si="2"/>
        <v>47.82892592005447</v>
      </c>
      <c r="C132" s="29"/>
      <c r="D132" s="29"/>
      <c r="E132" s="58">
        <f t="shared" si="3"/>
        <v>54719.811520504554</v>
      </c>
    </row>
    <row r="133" spans="1:5" ht="12.75">
      <c r="A133" s="1">
        <v>0.10400000000000001</v>
      </c>
      <c r="B133" s="29">
        <f t="shared" si="2"/>
        <v>47.83407191781563</v>
      </c>
      <c r="C133" s="29"/>
      <c r="D133" s="29"/>
      <c r="E133" s="58">
        <f t="shared" si="3"/>
        <v>54721.52121653863</v>
      </c>
    </row>
    <row r="134" spans="1:5" ht="12.75">
      <c r="A134" s="1">
        <v>0.105</v>
      </c>
      <c r="B134" s="29">
        <f t="shared" si="2"/>
        <v>47.83918215918154</v>
      </c>
      <c r="C134" s="29"/>
      <c r="D134" s="29"/>
      <c r="E134" s="58">
        <f t="shared" si="3"/>
        <v>54723.22243834714</v>
      </c>
    </row>
    <row r="135" spans="1:5" ht="12.75">
      <c r="A135" s="1">
        <v>0.106</v>
      </c>
      <c r="B135" s="29">
        <f t="shared" si="2"/>
        <v>47.844257291123824</v>
      </c>
      <c r="C135" s="29"/>
      <c r="D135" s="29"/>
      <c r="E135" s="58">
        <f t="shared" si="3"/>
        <v>54724.91533085245</v>
      </c>
    </row>
    <row r="136" spans="1:5" ht="12.75">
      <c r="A136" s="1">
        <v>0.107</v>
      </c>
      <c r="B136" s="29">
        <f t="shared" si="2"/>
        <v>47.84929794316504</v>
      </c>
      <c r="C136" s="29"/>
      <c r="D136" s="29"/>
      <c r="E136" s="58">
        <f t="shared" si="3"/>
        <v>54726.60003532514</v>
      </c>
    </row>
    <row r="137" spans="1:5" ht="12.75">
      <c r="A137" s="1">
        <v>0.108</v>
      </c>
      <c r="B137" s="29">
        <f t="shared" si="2"/>
        <v>47.854304728009666</v>
      </c>
      <c r="C137" s="29"/>
      <c r="D137" s="29"/>
      <c r="E137" s="58">
        <f t="shared" si="3"/>
        <v>54728.2766895098</v>
      </c>
    </row>
    <row r="138" spans="1:5" ht="12.75">
      <c r="A138" s="1">
        <v>0.109</v>
      </c>
      <c r="B138" s="29">
        <f t="shared" si="2"/>
        <v>47.85927824214654</v>
      </c>
      <c r="C138" s="29"/>
      <c r="D138" s="29"/>
      <c r="E138" s="58">
        <f t="shared" si="3"/>
        <v>54729.94542774552</v>
      </c>
    </row>
    <row r="139" spans="1:5" ht="12.75">
      <c r="A139" s="1">
        <v>0.11</v>
      </c>
      <c r="B139" s="29">
        <f t="shared" si="2"/>
        <v>47.86421906642444</v>
      </c>
      <c r="C139" s="29"/>
      <c r="D139" s="29"/>
      <c r="E139" s="58">
        <f t="shared" si="3"/>
        <v>54731.606381081074</v>
      </c>
    </row>
    <row r="140" spans="1:5" ht="12.75">
      <c r="A140" s="1">
        <v>0.111</v>
      </c>
      <c r="B140" s="29">
        <f t="shared" si="2"/>
        <v>47.86912776660225</v>
      </c>
      <c r="C140" s="29"/>
      <c r="D140" s="29"/>
      <c r="E140" s="58">
        <f t="shared" si="3"/>
        <v>54733.259677385264</v>
      </c>
    </row>
    <row r="141" spans="1:5" ht="12.75">
      <c r="A141" s="1">
        <v>0.112</v>
      </c>
      <c r="B141" s="29">
        <f t="shared" si="2"/>
        <v>47.87400489387485</v>
      </c>
      <c r="C141" s="29"/>
      <c r="D141" s="29"/>
      <c r="E141" s="58">
        <f t="shared" si="3"/>
        <v>54734.90544145263</v>
      </c>
    </row>
    <row r="142" spans="1:5" ht="12.75">
      <c r="A142" s="1">
        <v>0.113</v>
      </c>
      <c r="B142" s="29">
        <f t="shared" si="2"/>
        <v>47.8788509853763</v>
      </c>
      <c r="C142" s="29"/>
      <c r="D142" s="29"/>
      <c r="E142" s="58">
        <f t="shared" si="3"/>
        <v>54736.54379510472</v>
      </c>
    </row>
    <row r="143" spans="1:5" ht="12.75">
      <c r="A143" s="1">
        <v>0.114</v>
      </c>
      <c r="B143" s="29">
        <f t="shared" si="2"/>
        <v>47.883666564661276</v>
      </c>
      <c r="C143" s="29"/>
      <c r="D143" s="29"/>
      <c r="E143" s="58">
        <f t="shared" si="3"/>
        <v>54738.17485728719</v>
      </c>
    </row>
    <row r="144" spans="1:5" ht="12.75">
      <c r="A144" s="1">
        <v>0.115</v>
      </c>
      <c r="B144" s="29">
        <f t="shared" si="2"/>
        <v>47.8884521421659</v>
      </c>
      <c r="C144" s="29"/>
      <c r="D144" s="29"/>
      <c r="E144" s="58">
        <f t="shared" si="3"/>
        <v>54739.7987441628</v>
      </c>
    </row>
    <row r="145" spans="1:5" ht="12.75">
      <c r="A145" s="1">
        <v>0.116</v>
      </c>
      <c r="B145" s="29">
        <f t="shared" si="2"/>
        <v>47.89320821564918</v>
      </c>
      <c r="C145" s="29"/>
      <c r="D145" s="29"/>
      <c r="E145" s="58">
        <f t="shared" si="3"/>
        <v>54741.415569200864</v>
      </c>
    </row>
    <row r="146" spans="1:5" ht="12.75">
      <c r="A146" s="1">
        <v>0.117</v>
      </c>
      <c r="B146" s="29">
        <f t="shared" si="2"/>
        <v>47.89793527061582</v>
      </c>
      <c r="C146" s="29"/>
      <c r="D146" s="29"/>
      <c r="E146" s="58">
        <f t="shared" si="3"/>
        <v>54743.02544326282</v>
      </c>
    </row>
    <row r="147" spans="1:5" ht="12.75">
      <c r="A147" s="1">
        <v>0.11800000000000001</v>
      </c>
      <c r="B147" s="29">
        <f t="shared" si="2"/>
        <v>47.90263378072148</v>
      </c>
      <c r="C147" s="29"/>
      <c r="D147" s="29"/>
      <c r="E147" s="58">
        <f t="shared" si="3"/>
        <v>54744.62847468457</v>
      </c>
    </row>
    <row r="148" spans="1:5" ht="12.75">
      <c r="A148" s="1">
        <v>0.11900000000000001</v>
      </c>
      <c r="B148" s="29">
        <f t="shared" si="2"/>
        <v>47.90730420816133</v>
      </c>
      <c r="C148" s="29"/>
      <c r="D148" s="29"/>
      <c r="E148" s="58">
        <f t="shared" si="3"/>
        <v>54746.224769355525</v>
      </c>
    </row>
    <row r="149" spans="1:5" ht="12.75">
      <c r="A149" s="1">
        <v>0.12</v>
      </c>
      <c r="B149" s="29">
        <f t="shared" si="2"/>
        <v>47.911947004042645</v>
      </c>
      <c r="C149" s="29"/>
      <c r="D149" s="29"/>
      <c r="E149" s="58">
        <f t="shared" si="3"/>
        <v>54747.81443079438</v>
      </c>
    </row>
    <row r="150" spans="1:5" ht="12.75">
      <c r="A150" s="1">
        <v>0.121</v>
      </c>
      <c r="B150" s="29">
        <f t="shared" si="2"/>
        <v>47.91656260874241</v>
      </c>
      <c r="C150" s="29"/>
      <c r="D150" s="29"/>
      <c r="E150" s="58">
        <f t="shared" si="3"/>
        <v>54749.397560222176</v>
      </c>
    </row>
    <row r="151" spans="1:5" ht="12.75">
      <c r="A151" s="1">
        <v>0.122</v>
      </c>
      <c r="B151" s="29">
        <f t="shared" si="2"/>
        <v>47.92115145225036</v>
      </c>
      <c r="C151" s="29"/>
      <c r="D151" s="29"/>
      <c r="E151" s="58">
        <f t="shared" si="3"/>
        <v>54750.97425663238</v>
      </c>
    </row>
    <row r="152" spans="1:5" ht="12.75">
      <c r="A152" s="1">
        <v>0.123</v>
      </c>
      <c r="B152" s="29">
        <f t="shared" si="2"/>
        <v>47.92571395449853</v>
      </c>
      <c r="C152" s="29"/>
      <c r="D152" s="29"/>
      <c r="E152" s="58">
        <f t="shared" si="3"/>
        <v>54752.544616858286</v>
      </c>
    </row>
    <row r="153" spans="1:5" ht="12.75">
      <c r="A153" s="1">
        <v>0.124</v>
      </c>
      <c r="B153" s="29">
        <f t="shared" si="2"/>
        <v>47.93025052567755</v>
      </c>
      <c r="C153" s="29"/>
      <c r="D153" s="29"/>
      <c r="E153" s="58">
        <f t="shared" si="3"/>
        <v>54754.10873563792</v>
      </c>
    </row>
    <row r="154" spans="1:5" ht="12.75">
      <c r="A154" s="1">
        <v>0.125</v>
      </c>
      <c r="B154" s="29">
        <f t="shared" si="2"/>
        <v>47.93476156654074</v>
      </c>
      <c r="C154" s="29"/>
      <c r="D154" s="29"/>
      <c r="E154" s="58">
        <f t="shared" si="3"/>
        <v>54755.66670567642</v>
      </c>
    </row>
    <row r="155" spans="1:5" ht="12.75">
      <c r="A155" s="1">
        <v>0.126</v>
      </c>
      <c r="B155" s="29">
        <f t="shared" si="2"/>
        <v>47.9392474686962</v>
      </c>
      <c r="C155" s="29"/>
      <c r="D155" s="29"/>
      <c r="E155" s="58">
        <f t="shared" si="3"/>
        <v>54757.2186177061</v>
      </c>
    </row>
    <row r="156" spans="1:5" ht="12.75">
      <c r="A156" s="1">
        <v>0.127</v>
      </c>
      <c r="B156" s="29">
        <f t="shared" si="2"/>
        <v>47.94370861488767</v>
      </c>
      <c r="C156" s="29"/>
      <c r="D156" s="29"/>
      <c r="E156" s="58">
        <f t="shared" si="3"/>
        <v>54758.764560544376</v>
      </c>
    </row>
    <row r="157" spans="1:5" ht="12.75">
      <c r="A157" s="1">
        <v>0.128</v>
      </c>
      <c r="B157" s="29">
        <f t="shared" si="2"/>
        <v>47.948145379264645</v>
      </c>
      <c r="C157" s="29"/>
      <c r="D157" s="29"/>
      <c r="E157" s="58">
        <f t="shared" si="3"/>
        <v>54760.304621149364</v>
      </c>
    </row>
    <row r="158" spans="1:5" ht="12.75">
      <c r="A158" s="1">
        <v>0.129</v>
      </c>
      <c r="B158" s="29">
        <f t="shared" si="2"/>
        <v>47.95255812764218</v>
      </c>
      <c r="C158" s="29"/>
      <c r="D158" s="29"/>
      <c r="E158" s="58">
        <f t="shared" si="3"/>
        <v>54761.838884673634</v>
      </c>
    </row>
    <row r="159" spans="1:5" ht="12.75">
      <c r="A159" s="1">
        <v>0.13</v>
      </c>
      <c r="B159" s="29">
        <f aca="true" t="shared" si="4" ref="B159:B222">$C$6+NORMSINV($A159)*$C$11*$C$6</f>
        <v>47.95694721775092</v>
      </c>
      <c r="C159" s="29"/>
      <c r="D159" s="29"/>
      <c r="E159" s="58">
        <f aca="true" t="shared" si="5" ref="E159:E222">EPortfolio($C$5+1/252,$B159,$C$7,$C$8,$C$9,,$C$10,$H$7:$L$10,0)</f>
        <v>54763.367434515894</v>
      </c>
    </row>
    <row r="160" spans="1:5" ht="12.75">
      <c r="A160" s="1">
        <v>0.131</v>
      </c>
      <c r="B160" s="29">
        <f t="shared" si="4"/>
        <v>47.96131299947776</v>
      </c>
      <c r="C160" s="29"/>
      <c r="D160" s="29"/>
      <c r="E160" s="58">
        <f t="shared" si="5"/>
        <v>54764.89035237086</v>
      </c>
    </row>
    <row r="161" spans="1:5" ht="12.75">
      <c r="A161" s="1">
        <v>0.132</v>
      </c>
      <c r="B161" s="29">
        <f t="shared" si="4"/>
        <v>47.96565581509755</v>
      </c>
      <c r="C161" s="29"/>
      <c r="D161" s="29"/>
      <c r="E161" s="58">
        <f t="shared" si="5"/>
        <v>54766.40771827739</v>
      </c>
    </row>
    <row r="162" spans="1:5" ht="12.75">
      <c r="A162" s="1">
        <v>0.133</v>
      </c>
      <c r="B162" s="29">
        <f t="shared" si="4"/>
        <v>47.96997599949624</v>
      </c>
      <c r="C162" s="29"/>
      <c r="D162" s="29"/>
      <c r="E162" s="58">
        <f t="shared" si="5"/>
        <v>54767.91961066475</v>
      </c>
    </row>
    <row r="163" spans="1:5" ht="12.75">
      <c r="A163" s="1">
        <v>0.134</v>
      </c>
      <c r="B163" s="29">
        <f t="shared" si="4"/>
        <v>47.97427388038594</v>
      </c>
      <c r="C163" s="29"/>
      <c r="D163" s="29"/>
      <c r="E163" s="58">
        <f t="shared" si="5"/>
        <v>54769.42610639746</v>
      </c>
    </row>
    <row r="164" spans="1:5" ht="12.75">
      <c r="A164" s="1">
        <v>0.135</v>
      </c>
      <c r="B164" s="29">
        <f t="shared" si="4"/>
        <v>47.97854977851203</v>
      </c>
      <c r="C164" s="29"/>
      <c r="D164" s="29"/>
      <c r="E164" s="58">
        <f t="shared" si="5"/>
        <v>54770.92728081842</v>
      </c>
    </row>
    <row r="165" spans="1:5" ht="12.75">
      <c r="A165" s="1">
        <v>0.136</v>
      </c>
      <c r="B165" s="29">
        <f t="shared" si="4"/>
        <v>47.98280400785296</v>
      </c>
      <c r="C165" s="29"/>
      <c r="D165" s="29"/>
      <c r="E165" s="58">
        <f t="shared" si="5"/>
        <v>54772.423207790576</v>
      </c>
    </row>
    <row r="166" spans="1:5" ht="12.75">
      <c r="A166" s="1">
        <v>0.137</v>
      </c>
      <c r="B166" s="29">
        <f t="shared" si="4"/>
        <v>47.98703687581278</v>
      </c>
      <c r="C166" s="29"/>
      <c r="D166" s="29"/>
      <c r="E166" s="58">
        <f t="shared" si="5"/>
        <v>54773.91395973724</v>
      </c>
    </row>
    <row r="167" spans="1:5" ht="12.75">
      <c r="A167" s="1">
        <v>0.138</v>
      </c>
      <c r="B167" s="29">
        <f t="shared" si="4"/>
        <v>47.991248683406845</v>
      </c>
      <c r="C167" s="29"/>
      <c r="D167" s="29"/>
      <c r="E167" s="58">
        <f t="shared" si="5"/>
        <v>54775.39960768089</v>
      </c>
    </row>
    <row r="168" spans="1:5" ht="12.75">
      <c r="A168" s="1">
        <v>0.139</v>
      </c>
      <c r="B168" s="29">
        <f t="shared" si="4"/>
        <v>47.99543972544103</v>
      </c>
      <c r="C168" s="29"/>
      <c r="D168" s="29"/>
      <c r="E168" s="58">
        <f t="shared" si="5"/>
        <v>54776.88022128071</v>
      </c>
    </row>
    <row r="169" spans="1:5" ht="12.75">
      <c r="A169" s="1">
        <v>0.14</v>
      </c>
      <c r="B169" s="29">
        <f t="shared" si="4"/>
        <v>47.999610290684636</v>
      </c>
      <c r="C169" s="29"/>
      <c r="D169" s="29"/>
      <c r="E169" s="58">
        <f t="shared" si="5"/>
        <v>54778.35586886897</v>
      </c>
    </row>
    <row r="170" spans="1:5" ht="12.75">
      <c r="A170" s="1">
        <v>0.14100000000000001</v>
      </c>
      <c r="B170" s="29">
        <f t="shared" si="4"/>
        <v>48.00376066203725</v>
      </c>
      <c r="C170" s="29"/>
      <c r="D170" s="29"/>
      <c r="E170" s="58">
        <f t="shared" si="5"/>
        <v>54779.826617486</v>
      </c>
    </row>
    <row r="171" spans="1:5" ht="12.75">
      <c r="A171" s="1">
        <v>0.14200000000000002</v>
      </c>
      <c r="B171" s="29">
        <f t="shared" si="4"/>
        <v>48.0078911166899</v>
      </c>
      <c r="C171" s="29"/>
      <c r="D171" s="29"/>
      <c r="E171" s="58">
        <f t="shared" si="5"/>
        <v>54781.292532914136</v>
      </c>
    </row>
    <row r="172" spans="1:5" ht="12.75">
      <c r="A172" s="1">
        <v>0.14300000000000002</v>
      </c>
      <c r="B172" s="29">
        <f t="shared" si="4"/>
        <v>48.01200192628065</v>
      </c>
      <c r="C172" s="29"/>
      <c r="D172" s="29"/>
      <c r="E172" s="58">
        <f t="shared" si="5"/>
        <v>54782.75367971054</v>
      </c>
    </row>
    <row r="173" spans="1:5" ht="12.75">
      <c r="A173" s="1">
        <v>0.14400000000000002</v>
      </c>
      <c r="B173" s="29">
        <f t="shared" si="4"/>
        <v>48.016093357044895</v>
      </c>
      <c r="C173" s="29"/>
      <c r="D173" s="29"/>
      <c r="E173" s="58">
        <f t="shared" si="5"/>
        <v>54784.21012123888</v>
      </c>
    </row>
    <row r="174" spans="1:5" ht="12.75">
      <c r="A174" s="1">
        <v>0.145</v>
      </c>
      <c r="B174" s="29">
        <f t="shared" si="4"/>
        <v>48.02016566996065</v>
      </c>
      <c r="C174" s="29"/>
      <c r="D174" s="29"/>
      <c r="E174" s="58">
        <f t="shared" si="5"/>
        <v>54785.661919699975</v>
      </c>
    </row>
    <row r="175" spans="1:5" ht="12.75">
      <c r="A175" s="1">
        <v>0.146</v>
      </c>
      <c r="B175" s="29">
        <f t="shared" si="4"/>
        <v>48.02421912088883</v>
      </c>
      <c r="C175" s="29"/>
      <c r="D175" s="29"/>
      <c r="E175" s="58">
        <f t="shared" si="5"/>
        <v>54787.109136161605</v>
      </c>
    </row>
    <row r="176" spans="1:5" ht="12.75">
      <c r="A176" s="1">
        <v>0.147</v>
      </c>
      <c r="B176" s="29">
        <f t="shared" si="4"/>
        <v>48.02825396070897</v>
      </c>
      <c r="C176" s="29"/>
      <c r="D176" s="29"/>
      <c r="E176" s="58">
        <f t="shared" si="5"/>
        <v>54788.55183058714</v>
      </c>
    </row>
    <row r="177" spans="1:5" ht="12.75">
      <c r="A177" s="1">
        <v>0.148</v>
      </c>
      <c r="B177" s="29">
        <f t="shared" si="4"/>
        <v>48.03227043545041</v>
      </c>
      <c r="C177" s="29"/>
      <c r="D177" s="29"/>
      <c r="E177" s="58">
        <f t="shared" si="5"/>
        <v>54789.99006186343</v>
      </c>
    </row>
    <row r="178" spans="1:5" ht="12.75">
      <c r="A178" s="1">
        <v>0.149</v>
      </c>
      <c r="B178" s="29">
        <f t="shared" si="4"/>
        <v>48.03626878641912</v>
      </c>
      <c r="C178" s="29"/>
      <c r="D178" s="29"/>
      <c r="E178" s="58">
        <f t="shared" si="5"/>
        <v>54791.423887827696</v>
      </c>
    </row>
    <row r="179" spans="1:5" ht="12.75">
      <c r="A179" s="1">
        <v>0.15</v>
      </c>
      <c r="B179" s="29">
        <f t="shared" si="4"/>
        <v>48.04024925032049</v>
      </c>
      <c r="C179" s="29"/>
      <c r="D179" s="29"/>
      <c r="E179" s="58">
        <f t="shared" si="5"/>
        <v>54792.85336529371</v>
      </c>
    </row>
    <row r="180" spans="1:5" ht="12.75">
      <c r="A180" s="1">
        <v>0.151</v>
      </c>
      <c r="B180" s="29">
        <f t="shared" si="4"/>
        <v>48.04421205937803</v>
      </c>
      <c r="C180" s="29"/>
      <c r="D180" s="29"/>
      <c r="E180" s="58">
        <f t="shared" si="5"/>
        <v>54794.278550077</v>
      </c>
    </row>
    <row r="181" spans="1:5" ht="12.75">
      <c r="A181" s="1">
        <v>0.152</v>
      </c>
      <c r="B181" s="29">
        <f t="shared" si="4"/>
        <v>48.048157441448296</v>
      </c>
      <c r="C181" s="29"/>
      <c r="D181" s="29"/>
      <c r="E181" s="58">
        <f t="shared" si="5"/>
        <v>54795.69949701938</v>
      </c>
    </row>
    <row r="182" spans="1:5" ht="12.75">
      <c r="A182" s="1">
        <v>0.153</v>
      </c>
      <c r="B182" s="29">
        <f t="shared" si="4"/>
        <v>48.05208562013212</v>
      </c>
      <c r="C182" s="29"/>
      <c r="D182" s="29"/>
      <c r="E182" s="58">
        <f t="shared" si="5"/>
        <v>54797.1162600127</v>
      </c>
    </row>
    <row r="183" spans="1:5" ht="12.75">
      <c r="A183" s="1">
        <v>0.154</v>
      </c>
      <c r="B183" s="29">
        <f t="shared" si="4"/>
        <v>48.055996814882334</v>
      </c>
      <c r="C183" s="29"/>
      <c r="D183" s="29"/>
      <c r="E183" s="58">
        <f t="shared" si="5"/>
        <v>54798.528892021895</v>
      </c>
    </row>
    <row r="184" spans="1:5" ht="12.75">
      <c r="A184" s="1">
        <v>0.155</v>
      </c>
      <c r="B184" s="29">
        <f t="shared" si="4"/>
        <v>48.05989124110803</v>
      </c>
      <c r="C184" s="29"/>
      <c r="D184" s="29"/>
      <c r="E184" s="58">
        <f t="shared" si="5"/>
        <v>54799.93744510721</v>
      </c>
    </row>
    <row r="185" spans="1:5" ht="12.75">
      <c r="A185" s="1">
        <v>0.156</v>
      </c>
      <c r="B185" s="29">
        <f t="shared" si="4"/>
        <v>48.06376911027562</v>
      </c>
      <c r="C185" s="29"/>
      <c r="D185" s="29"/>
      <c r="E185" s="58">
        <f t="shared" si="5"/>
        <v>54801.34197044593</v>
      </c>
    </row>
    <row r="186" spans="1:5" ht="12.75">
      <c r="A186" s="1">
        <v>0.157</v>
      </c>
      <c r="B186" s="29">
        <f t="shared" si="4"/>
        <v>48.06763063000665</v>
      </c>
      <c r="C186" s="29"/>
      <c r="D186" s="29"/>
      <c r="E186" s="58">
        <f t="shared" si="5"/>
        <v>54802.74251835335</v>
      </c>
    </row>
    <row r="187" spans="1:5" ht="12.75">
      <c r="A187" s="1">
        <v>0.158</v>
      </c>
      <c r="B187" s="29">
        <f t="shared" si="4"/>
        <v>48.07147600417269</v>
      </c>
      <c r="C187" s="29"/>
      <c r="D187" s="29"/>
      <c r="E187" s="58">
        <f t="shared" si="5"/>
        <v>54804.13913830313</v>
      </c>
    </row>
    <row r="188" spans="1:5" ht="12.75">
      <c r="A188" s="1">
        <v>0.159</v>
      </c>
      <c r="B188" s="29">
        <f t="shared" si="4"/>
        <v>48.07530543298722</v>
      </c>
      <c r="C188" s="29"/>
      <c r="D188" s="29"/>
      <c r="E188" s="58">
        <f t="shared" si="5"/>
        <v>54805.5318789471</v>
      </c>
    </row>
    <row r="189" spans="1:5" ht="12.75">
      <c r="A189" s="1">
        <v>0.16</v>
      </c>
      <c r="B189" s="29">
        <f t="shared" si="4"/>
        <v>48.07911911309475</v>
      </c>
      <c r="C189" s="29"/>
      <c r="D189" s="29"/>
      <c r="E189" s="58">
        <f t="shared" si="5"/>
        <v>54806.92078813436</v>
      </c>
    </row>
    <row r="190" spans="1:5" ht="12.75">
      <c r="A190" s="1">
        <v>0.161</v>
      </c>
      <c r="B190" s="29">
        <f t="shared" si="4"/>
        <v>48.08291723765718</v>
      </c>
      <c r="C190" s="29"/>
      <c r="D190" s="29"/>
      <c r="E190" s="58">
        <f t="shared" si="5"/>
        <v>54808.30591293001</v>
      </c>
    </row>
    <row r="191" spans="1:5" ht="12.75">
      <c r="A191" s="1">
        <v>0.162</v>
      </c>
      <c r="B191" s="29">
        <f t="shared" si="4"/>
        <v>48.08669999643761</v>
      </c>
      <c r="C191" s="29"/>
      <c r="D191" s="29"/>
      <c r="E191" s="58">
        <f t="shared" si="5"/>
        <v>54809.68729963312</v>
      </c>
    </row>
    <row r="192" spans="1:5" ht="12.75">
      <c r="A192" s="1">
        <v>0.163</v>
      </c>
      <c r="B192" s="29">
        <f t="shared" si="4"/>
        <v>48.090467575881604</v>
      </c>
      <c r="C192" s="29"/>
      <c r="D192" s="29"/>
      <c r="E192" s="58">
        <f t="shared" si="5"/>
        <v>54811.06499379439</v>
      </c>
    </row>
    <row r="193" spans="1:5" ht="12.75">
      <c r="A193" s="1">
        <v>0.164</v>
      </c>
      <c r="B193" s="29">
        <f t="shared" si="4"/>
        <v>48.094220159196</v>
      </c>
      <c r="C193" s="29"/>
      <c r="D193" s="29"/>
      <c r="E193" s="58">
        <f t="shared" si="5"/>
        <v>54812.43904023313</v>
      </c>
    </row>
    <row r="194" spans="1:5" ht="12.75">
      <c r="A194" s="1">
        <v>0.165</v>
      </c>
      <c r="B194" s="29">
        <f t="shared" si="4"/>
        <v>48.097957926425444</v>
      </c>
      <c r="C194" s="29"/>
      <c r="D194" s="29"/>
      <c r="E194" s="58">
        <f t="shared" si="5"/>
        <v>54813.80948305384</v>
      </c>
    </row>
    <row r="195" spans="1:5" ht="12.75">
      <c r="A195" s="1">
        <v>0.166</v>
      </c>
      <c r="B195" s="29">
        <f t="shared" si="4"/>
        <v>48.1016810545266</v>
      </c>
      <c r="C195" s="29"/>
      <c r="D195" s="29"/>
      <c r="E195" s="58">
        <f t="shared" si="5"/>
        <v>54815.17636566232</v>
      </c>
    </row>
    <row r="196" spans="1:5" ht="12.75">
      <c r="A196" s="1">
        <v>0.167</v>
      </c>
      <c r="B196" s="29">
        <f t="shared" si="4"/>
        <v>48.105389717440254</v>
      </c>
      <c r="C196" s="29"/>
      <c r="D196" s="29"/>
      <c r="E196" s="58">
        <f t="shared" si="5"/>
        <v>54816.53973078135</v>
      </c>
    </row>
    <row r="197" spans="1:5" ht="12.75">
      <c r="A197" s="1">
        <v>0.168</v>
      </c>
      <c r="B197" s="29">
        <f t="shared" si="4"/>
        <v>48.109084086161246</v>
      </c>
      <c r="C197" s="29"/>
      <c r="D197" s="29"/>
      <c r="E197" s="58">
        <f t="shared" si="5"/>
        <v>54817.89962046579</v>
      </c>
    </row>
    <row r="198" spans="1:5" ht="12.75">
      <c r="A198" s="1">
        <v>0.169</v>
      </c>
      <c r="B198" s="29">
        <f t="shared" si="4"/>
        <v>48.11276432880643</v>
      </c>
      <c r="C198" s="29"/>
      <c r="D198" s="29"/>
      <c r="E198" s="58">
        <f t="shared" si="5"/>
        <v>54819.25607611746</v>
      </c>
    </row>
    <row r="199" spans="1:5" ht="12.75">
      <c r="A199" s="1">
        <v>0.17</v>
      </c>
      <c r="B199" s="29">
        <f t="shared" si="4"/>
        <v>48.11643061068066</v>
      </c>
      <c r="C199" s="29"/>
      <c r="D199" s="29"/>
      <c r="E199" s="58">
        <f t="shared" si="5"/>
        <v>54820.60913849946</v>
      </c>
    </row>
    <row r="200" spans="1:5" ht="12.75">
      <c r="A200" s="1">
        <v>0.171</v>
      </c>
      <c r="B200" s="29">
        <f t="shared" si="4"/>
        <v>48.12008309434089</v>
      </c>
      <c r="C200" s="29"/>
      <c r="D200" s="29"/>
      <c r="E200" s="58">
        <f t="shared" si="5"/>
        <v>54821.95884775015</v>
      </c>
    </row>
    <row r="201" spans="1:5" ht="12.75">
      <c r="A201" s="1">
        <v>0.17200000000000001</v>
      </c>
      <c r="B201" s="29">
        <f t="shared" si="4"/>
        <v>48.123721939658424</v>
      </c>
      <c r="C201" s="29"/>
      <c r="D201" s="29"/>
      <c r="E201" s="58">
        <f t="shared" si="5"/>
        <v>54823.30524339678</v>
      </c>
    </row>
    <row r="202" spans="1:5" ht="12.75">
      <c r="A202" s="1">
        <v>0.17300000000000001</v>
      </c>
      <c r="B202" s="29">
        <f t="shared" si="4"/>
        <v>48.12734730387945</v>
      </c>
      <c r="C202" s="29"/>
      <c r="D202" s="29"/>
      <c r="E202" s="58">
        <f t="shared" si="5"/>
        <v>54824.64836436865</v>
      </c>
    </row>
    <row r="203" spans="1:5" ht="12.75">
      <c r="A203" s="1">
        <v>0.17400000000000002</v>
      </c>
      <c r="B203" s="29">
        <f t="shared" si="4"/>
        <v>48.13095934168387</v>
      </c>
      <c r="C203" s="29"/>
      <c r="D203" s="29"/>
      <c r="E203" s="58">
        <f t="shared" si="5"/>
        <v>54825.98824901001</v>
      </c>
    </row>
    <row r="204" spans="1:5" ht="12.75">
      <c r="A204" s="1">
        <v>0.175</v>
      </c>
      <c r="B204" s="29">
        <f t="shared" si="4"/>
        <v>48.13455820524239</v>
      </c>
      <c r="C204" s="29"/>
      <c r="D204" s="29"/>
      <c r="E204" s="58">
        <f t="shared" si="5"/>
        <v>54827.324935092605</v>
      </c>
    </row>
    <row r="205" spans="1:5" ht="12.75">
      <c r="A205" s="1">
        <v>0.17600000000000002</v>
      </c>
      <c r="B205" s="29">
        <f t="shared" si="4"/>
        <v>48.13814404427221</v>
      </c>
      <c r="C205" s="29"/>
      <c r="D205" s="29"/>
      <c r="E205" s="58">
        <f t="shared" si="5"/>
        <v>54828.658459827784</v>
      </c>
    </row>
    <row r="206" spans="1:5" ht="12.75">
      <c r="A206" s="1">
        <v>0.177</v>
      </c>
      <c r="B206" s="29">
        <f t="shared" si="4"/>
        <v>48.14171700609095</v>
      </c>
      <c r="C206" s="29"/>
      <c r="D206" s="29"/>
      <c r="E206" s="58">
        <f t="shared" si="5"/>
        <v>54829.98885987844</v>
      </c>
    </row>
    <row r="207" spans="1:5" ht="12.75">
      <c r="A207" s="1">
        <v>0.178</v>
      </c>
      <c r="B207" s="29">
        <f t="shared" si="4"/>
        <v>48.1452772356693</v>
      </c>
      <c r="C207" s="29"/>
      <c r="D207" s="29"/>
      <c r="E207" s="58">
        <f t="shared" si="5"/>
        <v>54831.31617137051</v>
      </c>
    </row>
    <row r="208" spans="1:5" ht="12.75">
      <c r="A208" s="1">
        <v>0.179</v>
      </c>
      <c r="B208" s="29">
        <f t="shared" si="4"/>
        <v>48.148824875682074</v>
      </c>
      <c r="C208" s="29"/>
      <c r="D208" s="29"/>
      <c r="E208" s="58">
        <f t="shared" si="5"/>
        <v>54832.64042990424</v>
      </c>
    </row>
    <row r="209" spans="1:5" ht="12.75">
      <c r="A209" s="1">
        <v>0.18</v>
      </c>
      <c r="B209" s="29">
        <f t="shared" si="4"/>
        <v>48.15236006655799</v>
      </c>
      <c r="C209" s="29"/>
      <c r="D209" s="29"/>
      <c r="E209" s="58">
        <f t="shared" si="5"/>
        <v>54833.961670565106</v>
      </c>
    </row>
    <row r="210" spans="1:5" ht="12.75">
      <c r="A210" s="1">
        <v>0.181</v>
      </c>
      <c r="B210" s="29">
        <f t="shared" si="4"/>
        <v>48.15588294652802</v>
      </c>
      <c r="C210" s="29"/>
      <c r="D210" s="29"/>
      <c r="E210" s="58">
        <f t="shared" si="5"/>
        <v>54835.279927934505</v>
      </c>
    </row>
    <row r="211" spans="1:5" ht="12.75">
      <c r="A211" s="1">
        <v>0.182</v>
      </c>
      <c r="B211" s="29">
        <f t="shared" si="4"/>
        <v>48.15939365167249</v>
      </c>
      <c r="C211" s="29"/>
      <c r="D211" s="29"/>
      <c r="E211" s="58">
        <f t="shared" si="5"/>
        <v>54836.59523610015</v>
      </c>
    </row>
    <row r="212" spans="1:5" ht="12.75">
      <c r="A212" s="1">
        <v>0.183</v>
      </c>
      <c r="B212" s="29">
        <f t="shared" si="4"/>
        <v>48.162892315966914</v>
      </c>
      <c r="C212" s="29"/>
      <c r="D212" s="29"/>
      <c r="E212" s="58">
        <f t="shared" si="5"/>
        <v>54837.90762866613</v>
      </c>
    </row>
    <row r="213" spans="1:5" ht="12.75">
      <c r="A213" s="1">
        <v>0.184</v>
      </c>
      <c r="B213" s="29">
        <f t="shared" si="4"/>
        <v>48.16637907132661</v>
      </c>
      <c r="C213" s="29"/>
      <c r="D213" s="29"/>
      <c r="E213" s="58">
        <f t="shared" si="5"/>
        <v>54839.21713876288</v>
      </c>
    </row>
    <row r="214" spans="1:5" ht="12.75">
      <c r="A214" s="1">
        <v>0.185</v>
      </c>
      <c r="B214" s="29">
        <f t="shared" si="4"/>
        <v>48.169854047650105</v>
      </c>
      <c r="C214" s="29"/>
      <c r="D214" s="29"/>
      <c r="E214" s="58">
        <f t="shared" si="5"/>
        <v>54840.523799056675</v>
      </c>
    </row>
    <row r="215" spans="1:5" ht="12.75">
      <c r="A215" s="1">
        <v>0.186</v>
      </c>
      <c r="B215" s="29">
        <f t="shared" si="4"/>
        <v>48.17331737286147</v>
      </c>
      <c r="C215" s="29"/>
      <c r="D215" s="29"/>
      <c r="E215" s="58">
        <f t="shared" si="5"/>
        <v>54841.82764175911</v>
      </c>
    </row>
    <row r="216" spans="1:5" ht="12.75">
      <c r="A216" s="1">
        <v>0.187</v>
      </c>
      <c r="B216" s="29">
        <f t="shared" si="4"/>
        <v>48.17676917295144</v>
      </c>
      <c r="C216" s="29"/>
      <c r="D216" s="29"/>
      <c r="E216" s="58">
        <f t="shared" si="5"/>
        <v>54843.12869863613</v>
      </c>
    </row>
    <row r="217" spans="1:5" ht="12.75">
      <c r="A217" s="1">
        <v>0.188</v>
      </c>
      <c r="B217" s="29">
        <f t="shared" si="4"/>
        <v>48.1802095720176</v>
      </c>
      <c r="C217" s="29"/>
      <c r="D217" s="29"/>
      <c r="E217" s="58">
        <f t="shared" si="5"/>
        <v>54844.42700101702</v>
      </c>
    </row>
    <row r="218" spans="1:5" ht="12.75">
      <c r="A218" s="1">
        <v>0.189</v>
      </c>
      <c r="B218" s="29">
        <f t="shared" si="4"/>
        <v>48.18363869230342</v>
      </c>
      <c r="C218" s="29"/>
      <c r="D218" s="29"/>
      <c r="E218" s="58">
        <f t="shared" si="5"/>
        <v>54845.72257980305</v>
      </c>
    </row>
    <row r="219" spans="1:5" ht="12.75">
      <c r="A219" s="1">
        <v>0.19</v>
      </c>
      <c r="B219" s="29">
        <f t="shared" si="4"/>
        <v>48.187056654236315</v>
      </c>
      <c r="C219" s="29"/>
      <c r="D219" s="29"/>
      <c r="E219" s="58">
        <f t="shared" si="5"/>
        <v>54847.01546547594</v>
      </c>
    </row>
    <row r="220" spans="1:5" ht="12.75">
      <c r="A220" s="1">
        <v>0.191</v>
      </c>
      <c r="B220" s="29">
        <f t="shared" si="4"/>
        <v>48.190463576464765</v>
      </c>
      <c r="C220" s="29"/>
      <c r="D220" s="29"/>
      <c r="E220" s="58">
        <f t="shared" si="5"/>
        <v>54848.30568810611</v>
      </c>
    </row>
    <row r="221" spans="1:5" ht="12.75">
      <c r="A221" s="1">
        <v>0.192</v>
      </c>
      <c r="B221" s="29">
        <f t="shared" si="4"/>
        <v>48.19385957589448</v>
      </c>
      <c r="C221" s="29"/>
      <c r="D221" s="29"/>
      <c r="E221" s="58">
        <f t="shared" si="5"/>
        <v>54849.593277360786</v>
      </c>
    </row>
    <row r="222" spans="1:5" ht="12.75">
      <c r="A222" s="1">
        <v>0.193</v>
      </c>
      <c r="B222" s="29">
        <f t="shared" si="4"/>
        <v>48.19724476772359</v>
      </c>
      <c r="C222" s="29"/>
      <c r="D222" s="29"/>
      <c r="E222" s="58">
        <f t="shared" si="5"/>
        <v>54850.878262511826</v>
      </c>
    </row>
    <row r="223" spans="1:5" ht="12.75">
      <c r="A223" s="1">
        <v>0.194</v>
      </c>
      <c r="B223" s="29">
        <f aca="true" t="shared" si="6" ref="B223:B286">$C$6+NORMSINV($A223)*$C$11*$C$6</f>
        <v>48.200619265477044</v>
      </c>
      <c r="C223" s="29"/>
      <c r="D223" s="29"/>
      <c r="E223" s="58">
        <f aca="true" t="shared" si="7" ref="E223:E286">EPortfolio($C$5+1/252,$B223,$C$7,$C$8,$C$9,,$C$10,$H$7:$L$10,0)</f>
        <v>54852.16067244337</v>
      </c>
    </row>
    <row r="224" spans="1:5" ht="12.75">
      <c r="A224" s="1">
        <v>0.195</v>
      </c>
      <c r="B224" s="29">
        <f t="shared" si="6"/>
        <v>48.20398318104008</v>
      </c>
      <c r="C224" s="29"/>
      <c r="D224" s="29"/>
      <c r="E224" s="58">
        <f t="shared" si="7"/>
        <v>54853.44053565942</v>
      </c>
    </row>
    <row r="225" spans="1:5" ht="12.75">
      <c r="A225" s="1">
        <v>0.196</v>
      </c>
      <c r="B225" s="29">
        <f t="shared" si="6"/>
        <v>48.207336624690846</v>
      </c>
      <c r="C225" s="29"/>
      <c r="D225" s="29"/>
      <c r="E225" s="58">
        <f t="shared" si="7"/>
        <v>54854.717880291</v>
      </c>
    </row>
    <row r="226" spans="1:5" ht="12.75">
      <c r="A226" s="1">
        <v>0.197</v>
      </c>
      <c r="B226" s="29">
        <f t="shared" si="6"/>
        <v>48.21067970513232</v>
      </c>
      <c r="C226" s="29"/>
      <c r="D226" s="29"/>
      <c r="E226" s="58">
        <f t="shared" si="7"/>
        <v>54855.99273410342</v>
      </c>
    </row>
    <row r="227" spans="1:5" ht="12.75">
      <c r="A227" s="1">
        <v>0.198</v>
      </c>
      <c r="B227" s="29">
        <f t="shared" si="6"/>
        <v>48.21401252952328</v>
      </c>
      <c r="C227" s="29"/>
      <c r="D227" s="29"/>
      <c r="E227" s="58">
        <f t="shared" si="7"/>
        <v>54857.265124503174</v>
      </c>
    </row>
    <row r="228" spans="1:5" ht="12.75">
      <c r="A228" s="1">
        <v>0.199</v>
      </c>
      <c r="B228" s="29">
        <f t="shared" si="6"/>
        <v>48.217335203508675</v>
      </c>
      <c r="C228" s="29"/>
      <c r="D228" s="29"/>
      <c r="E228" s="58">
        <f t="shared" si="7"/>
        <v>54858.53507854476</v>
      </c>
    </row>
    <row r="229" spans="1:5" ht="12.75">
      <c r="A229" s="1">
        <v>0.2</v>
      </c>
      <c r="B229" s="29">
        <f t="shared" si="6"/>
        <v>48.22064783124913</v>
      </c>
      <c r="C229" s="29"/>
      <c r="D229" s="29"/>
      <c r="E229" s="58">
        <f t="shared" si="7"/>
        <v>54859.80262293734</v>
      </c>
    </row>
    <row r="230" spans="1:5" ht="12.75">
      <c r="A230" s="1">
        <v>0.201</v>
      </c>
      <c r="B230" s="29">
        <f t="shared" si="6"/>
        <v>48.223950515449815</v>
      </c>
      <c r="C230" s="29"/>
      <c r="D230" s="29"/>
      <c r="E230" s="58">
        <f t="shared" si="7"/>
        <v>54861.067784051156</v>
      </c>
    </row>
    <row r="231" spans="1:5" ht="12.75">
      <c r="A231" s="1">
        <v>0.202</v>
      </c>
      <c r="B231" s="29">
        <f t="shared" si="6"/>
        <v>48.227243357388566</v>
      </c>
      <c r="C231" s="29"/>
      <c r="D231" s="29"/>
      <c r="E231" s="58">
        <f t="shared" si="7"/>
        <v>54862.330587923934</v>
      </c>
    </row>
    <row r="232" spans="1:5" ht="12.75">
      <c r="A232" s="1">
        <v>0.203</v>
      </c>
      <c r="B232" s="29">
        <f t="shared" si="6"/>
        <v>48.230526456943366</v>
      </c>
      <c r="C232" s="29"/>
      <c r="D232" s="29"/>
      <c r="E232" s="58">
        <f t="shared" si="7"/>
        <v>54863.591060267056</v>
      </c>
    </row>
    <row r="233" spans="1:5" ht="12.75">
      <c r="A233" s="1">
        <v>0.20400000000000001</v>
      </c>
      <c r="B233" s="29">
        <f t="shared" si="6"/>
        <v>48.23379991261913</v>
      </c>
      <c r="C233" s="29"/>
      <c r="D233" s="29"/>
      <c r="E233" s="58">
        <f t="shared" si="7"/>
        <v>54864.849226471575</v>
      </c>
    </row>
    <row r="234" spans="1:5" ht="12.75">
      <c r="A234" s="1">
        <v>0.205</v>
      </c>
      <c r="B234" s="29">
        <f t="shared" si="6"/>
        <v>48.2370638215739</v>
      </c>
      <c r="C234" s="29"/>
      <c r="D234" s="29"/>
      <c r="E234" s="58">
        <f t="shared" si="7"/>
        <v>54866.105111614146</v>
      </c>
    </row>
    <row r="235" spans="1:5" ht="12.75">
      <c r="A235" s="1">
        <v>0.20600000000000002</v>
      </c>
      <c r="B235" s="29">
        <f t="shared" si="6"/>
        <v>48.24031827964436</v>
      </c>
      <c r="C235" s="29"/>
      <c r="D235" s="29"/>
      <c r="E235" s="58">
        <f t="shared" si="7"/>
        <v>54867.35874046282</v>
      </c>
    </row>
    <row r="236" spans="1:5" ht="12.75">
      <c r="A236" s="1">
        <v>0.20700000000000002</v>
      </c>
      <c r="B236" s="29">
        <f t="shared" si="6"/>
        <v>48.24356338137083</v>
      </c>
      <c r="C236" s="29"/>
      <c r="D236" s="29"/>
      <c r="E236" s="58">
        <f t="shared" si="7"/>
        <v>54868.610137482625</v>
      </c>
    </row>
    <row r="237" spans="1:5" ht="12.75">
      <c r="A237" s="1">
        <v>0.20800000000000002</v>
      </c>
      <c r="B237" s="29">
        <f t="shared" si="6"/>
        <v>48.24679922002156</v>
      </c>
      <c r="C237" s="29"/>
      <c r="D237" s="29"/>
      <c r="E237" s="58">
        <f t="shared" si="7"/>
        <v>54869.859326841164</v>
      </c>
    </row>
    <row r="238" spans="1:5" ht="12.75">
      <c r="A238" s="1">
        <v>0.20900000000000002</v>
      </c>
      <c r="B238" s="29">
        <f t="shared" si="6"/>
        <v>48.25002588761657</v>
      </c>
      <c r="C238" s="29"/>
      <c r="D238" s="29"/>
      <c r="E238" s="58">
        <f t="shared" si="7"/>
        <v>54871.106332413896</v>
      </c>
    </row>
    <row r="239" spans="1:5" ht="12.75">
      <c r="A239" s="1">
        <v>0.21</v>
      </c>
      <c r="B239" s="29">
        <f t="shared" si="6"/>
        <v>48.2532434749509</v>
      </c>
      <c r="C239" s="29"/>
      <c r="D239" s="29"/>
      <c r="E239" s="58">
        <f t="shared" si="7"/>
        <v>54872.35117778952</v>
      </c>
    </row>
    <row r="240" spans="1:5" ht="12.75">
      <c r="A240" s="1">
        <v>0.211</v>
      </c>
      <c r="B240" s="29">
        <f t="shared" si="6"/>
        <v>48.256452071617254</v>
      </c>
      <c r="C240" s="29"/>
      <c r="D240" s="29"/>
      <c r="E240" s="58">
        <f t="shared" si="7"/>
        <v>54873.59388627508</v>
      </c>
    </row>
    <row r="241" spans="1:5" ht="12.75">
      <c r="A241" s="1">
        <v>0.212</v>
      </c>
      <c r="B241" s="29">
        <f t="shared" si="6"/>
        <v>48.25965176602821</v>
      </c>
      <c r="C241" s="29"/>
      <c r="D241" s="29"/>
      <c r="E241" s="58">
        <f t="shared" si="7"/>
        <v>54874.83448090095</v>
      </c>
    </row>
    <row r="242" spans="1:5" ht="12.75">
      <c r="A242" s="1">
        <v>0.213</v>
      </c>
      <c r="B242" s="29">
        <f t="shared" si="6"/>
        <v>48.26284264543792</v>
      </c>
      <c r="C242" s="29"/>
      <c r="D242" s="29"/>
      <c r="E242" s="58">
        <f t="shared" si="7"/>
        <v>54876.07298442588</v>
      </c>
    </row>
    <row r="243" spans="1:5" ht="12.75">
      <c r="A243" s="1">
        <v>0.214</v>
      </c>
      <c r="B243" s="29">
        <f t="shared" si="6"/>
        <v>48.266024795963226</v>
      </c>
      <c r="C243" s="29"/>
      <c r="D243" s="29"/>
      <c r="E243" s="58">
        <f t="shared" si="7"/>
        <v>54877.309419341706</v>
      </c>
    </row>
    <row r="244" spans="1:5" ht="12.75">
      <c r="A244" s="1">
        <v>0.215</v>
      </c>
      <c r="B244" s="29">
        <f t="shared" si="6"/>
        <v>48.269198302604394</v>
      </c>
      <c r="C244" s="29"/>
      <c r="D244" s="29"/>
      <c r="E244" s="58">
        <f t="shared" si="7"/>
        <v>54878.54380787814</v>
      </c>
    </row>
    <row r="245" spans="1:5" ht="12.75">
      <c r="A245" s="1">
        <v>0.216</v>
      </c>
      <c r="B245" s="29">
        <f t="shared" si="6"/>
        <v>48.27236324926535</v>
      </c>
      <c r="C245" s="29"/>
      <c r="D245" s="29"/>
      <c r="E245" s="58">
        <f t="shared" si="7"/>
        <v>54879.776172007325</v>
      </c>
    </row>
    <row r="246" spans="1:5" ht="12.75">
      <c r="A246" s="1">
        <v>0.217</v>
      </c>
      <c r="B246" s="29">
        <f t="shared" si="6"/>
        <v>48.27551971877341</v>
      </c>
      <c r="C246" s="29"/>
      <c r="D246" s="29"/>
      <c r="E246" s="58">
        <f t="shared" si="7"/>
        <v>54881.00653344841</v>
      </c>
    </row>
    <row r="247" spans="1:5" ht="12.75">
      <c r="A247" s="1">
        <v>0.218</v>
      </c>
      <c r="B247" s="29">
        <f t="shared" si="6"/>
        <v>48.27866779289866</v>
      </c>
      <c r="C247" s="29"/>
      <c r="D247" s="29"/>
      <c r="E247" s="58">
        <f t="shared" si="7"/>
        <v>54882.23491367193</v>
      </c>
    </row>
    <row r="248" spans="1:5" ht="12.75">
      <c r="A248" s="1">
        <v>0.219</v>
      </c>
      <c r="B248" s="29">
        <f t="shared" si="6"/>
        <v>48.28180755237283</v>
      </c>
      <c r="C248" s="29"/>
      <c r="D248" s="29"/>
      <c r="E248" s="58">
        <f t="shared" si="7"/>
        <v>54883.46133390411</v>
      </c>
    </row>
    <row r="249" spans="1:5" ht="12.75">
      <c r="A249" s="1">
        <v>0.22</v>
      </c>
      <c r="B249" s="29">
        <f t="shared" si="6"/>
        <v>48.28493907690779</v>
      </c>
      <c r="C249" s="29"/>
      <c r="D249" s="29"/>
      <c r="E249" s="58">
        <f t="shared" si="7"/>
        <v>54884.68581513113</v>
      </c>
    </row>
    <row r="250" spans="1:5" ht="12.75">
      <c r="A250" s="1">
        <v>0.221</v>
      </c>
      <c r="B250" s="29">
        <f t="shared" si="6"/>
        <v>48.2880624452136</v>
      </c>
      <c r="C250" s="29"/>
      <c r="D250" s="29"/>
      <c r="E250" s="58">
        <f t="shared" si="7"/>
        <v>54885.9083781033</v>
      </c>
    </row>
    <row r="251" spans="1:5" ht="12.75">
      <c r="A251" s="1">
        <v>0.222</v>
      </c>
      <c r="B251" s="29">
        <f t="shared" si="6"/>
        <v>48.291177735016205</v>
      </c>
      <c r="C251" s="29"/>
      <c r="D251" s="29"/>
      <c r="E251" s="58">
        <f t="shared" si="7"/>
        <v>54887.12904333901</v>
      </c>
    </row>
    <row r="252" spans="1:5" ht="12.75">
      <c r="A252" s="1">
        <v>0.223</v>
      </c>
      <c r="B252" s="29">
        <f t="shared" si="6"/>
        <v>48.29428502307474</v>
      </c>
      <c r="C252" s="29"/>
      <c r="D252" s="29"/>
      <c r="E252" s="58">
        <f t="shared" si="7"/>
        <v>54888.3478311288</v>
      </c>
    </row>
    <row r="253" spans="1:5" ht="12.75">
      <c r="A253" s="1">
        <v>0.224</v>
      </c>
      <c r="B253" s="29">
        <f t="shared" si="6"/>
        <v>48.29738438519843</v>
      </c>
      <c r="C253" s="29"/>
      <c r="D253" s="29"/>
      <c r="E253" s="58">
        <f t="shared" si="7"/>
        <v>54889.56476153918</v>
      </c>
    </row>
    <row r="254" spans="1:5" ht="12.75">
      <c r="A254" s="1">
        <v>0.225</v>
      </c>
      <c r="B254" s="29">
        <f t="shared" si="6"/>
        <v>48.300475896263116</v>
      </c>
      <c r="C254" s="29"/>
      <c r="D254" s="29"/>
      <c r="E254" s="58">
        <f t="shared" si="7"/>
        <v>54890.779854416476</v>
      </c>
    </row>
    <row r="255" spans="1:5" ht="12.75">
      <c r="A255" s="1">
        <v>0.226</v>
      </c>
      <c r="B255" s="29">
        <f t="shared" si="6"/>
        <v>48.30355963022748</v>
      </c>
      <c r="C255" s="29"/>
      <c r="D255" s="29"/>
      <c r="E255" s="58">
        <f t="shared" si="7"/>
        <v>54891.993129390554</v>
      </c>
    </row>
    <row r="256" spans="1:5" ht="12.75">
      <c r="A256" s="1">
        <v>0.227</v>
      </c>
      <c r="B256" s="29">
        <f t="shared" si="6"/>
        <v>48.306635660148885</v>
      </c>
      <c r="C256" s="29"/>
      <c r="D256" s="29"/>
      <c r="E256" s="58">
        <f t="shared" si="7"/>
        <v>54893.20460587845</v>
      </c>
    </row>
    <row r="257" spans="1:5" ht="12.75">
      <c r="A257" s="1">
        <v>0.228</v>
      </c>
      <c r="B257" s="29">
        <f t="shared" si="6"/>
        <v>48.30970405819886</v>
      </c>
      <c r="C257" s="29"/>
      <c r="D257" s="29"/>
      <c r="E257" s="58">
        <f t="shared" si="7"/>
        <v>54894.41430308793</v>
      </c>
    </row>
    <row r="258" spans="1:5" ht="12.75">
      <c r="A258" s="1">
        <v>0.229</v>
      </c>
      <c r="B258" s="29">
        <f t="shared" si="6"/>
        <v>48.3127648956783</v>
      </c>
      <c r="C258" s="29"/>
      <c r="D258" s="29"/>
      <c r="E258" s="58">
        <f t="shared" si="7"/>
        <v>54895.62224002103</v>
      </c>
    </row>
    <row r="259" spans="1:5" ht="12.75">
      <c r="A259" s="1">
        <v>0.23</v>
      </c>
      <c r="B259" s="29">
        <f t="shared" si="6"/>
        <v>48.3158182430323</v>
      </c>
      <c r="C259" s="29"/>
      <c r="D259" s="29"/>
      <c r="E259" s="58">
        <f t="shared" si="7"/>
        <v>54896.82843547751</v>
      </c>
    </row>
    <row r="260" spans="1:5" ht="12.75">
      <c r="A260" s="1">
        <v>0.231</v>
      </c>
      <c r="B260" s="29">
        <f t="shared" si="6"/>
        <v>48.3188641698647</v>
      </c>
      <c r="C260" s="29"/>
      <c r="D260" s="29"/>
      <c r="E260" s="58">
        <f t="shared" si="7"/>
        <v>54898.03290805814</v>
      </c>
    </row>
    <row r="261" spans="1:5" ht="12.75">
      <c r="A261" s="1">
        <v>0.232</v>
      </c>
      <c r="B261" s="29">
        <f t="shared" si="6"/>
        <v>48.32190274495236</v>
      </c>
      <c r="C261" s="29"/>
      <c r="D261" s="29"/>
      <c r="E261" s="58">
        <f t="shared" si="7"/>
        <v>54899.23567616804</v>
      </c>
    </row>
    <row r="262" spans="1:5" ht="12.75">
      <c r="A262" s="1">
        <v>0.233</v>
      </c>
      <c r="B262" s="29">
        <f t="shared" si="6"/>
        <v>48.324934036259016</v>
      </c>
      <c r="C262" s="29"/>
      <c r="D262" s="29"/>
      <c r="E262" s="58">
        <f t="shared" si="7"/>
        <v>54900.436758019925</v>
      </c>
    </row>
    <row r="263" spans="1:5" ht="12.75">
      <c r="A263" s="1">
        <v>0.234</v>
      </c>
      <c r="B263" s="29">
        <f t="shared" si="6"/>
        <v>48.32795811094901</v>
      </c>
      <c r="C263" s="29"/>
      <c r="D263" s="29"/>
      <c r="E263" s="58">
        <f t="shared" si="7"/>
        <v>54901.6361716372</v>
      </c>
    </row>
    <row r="264" spans="1:5" ht="12.75">
      <c r="A264" s="1">
        <v>0.235</v>
      </c>
      <c r="B264" s="29">
        <f t="shared" si="6"/>
        <v>48.33097503540062</v>
      </c>
      <c r="C264" s="29"/>
      <c r="D264" s="29"/>
      <c r="E264" s="58">
        <f t="shared" si="7"/>
        <v>54902.83393485717</v>
      </c>
    </row>
    <row r="265" spans="1:5" ht="12.75">
      <c r="A265" s="1">
        <v>0.23600000000000002</v>
      </c>
      <c r="B265" s="29">
        <f t="shared" si="6"/>
        <v>48.33398487521914</v>
      </c>
      <c r="C265" s="29"/>
      <c r="D265" s="29"/>
      <c r="E265" s="58">
        <f t="shared" si="7"/>
        <v>54904.03006533399</v>
      </c>
    </row>
    <row r="266" spans="1:5" ht="12.75">
      <c r="A266" s="1">
        <v>0.23700000000000002</v>
      </c>
      <c r="B266" s="29">
        <f t="shared" si="6"/>
        <v>48.336987695249725</v>
      </c>
      <c r="C266" s="29"/>
      <c r="D266" s="29"/>
      <c r="E266" s="58">
        <f t="shared" si="7"/>
        <v>54905.22458054166</v>
      </c>
    </row>
    <row r="267" spans="1:5" ht="12.75">
      <c r="A267" s="1">
        <v>0.23800000000000002</v>
      </c>
      <c r="B267" s="29">
        <f t="shared" si="6"/>
        <v>48.33998355958994</v>
      </c>
      <c r="C267" s="29"/>
      <c r="D267" s="29"/>
      <c r="E267" s="58">
        <f t="shared" si="7"/>
        <v>54906.417497777</v>
      </c>
    </row>
    <row r="268" spans="1:5" ht="12.75">
      <c r="A268" s="1">
        <v>0.23900000000000002</v>
      </c>
      <c r="B268" s="29">
        <f t="shared" si="6"/>
        <v>48.342972531602065</v>
      </c>
      <c r="C268" s="29"/>
      <c r="D268" s="29"/>
      <c r="E268" s="58">
        <f t="shared" si="7"/>
        <v>54907.60883416244</v>
      </c>
    </row>
    <row r="269" spans="1:5" ht="12.75">
      <c r="A269" s="1">
        <v>0.24</v>
      </c>
      <c r="B269" s="29">
        <f t="shared" si="6"/>
        <v>48.34595467392514</v>
      </c>
      <c r="C269" s="29"/>
      <c r="D269" s="29"/>
      <c r="E269" s="58">
        <f t="shared" si="7"/>
        <v>54908.79860664891</v>
      </c>
    </row>
    <row r="270" spans="1:5" ht="12.75">
      <c r="A270" s="1">
        <v>0.241</v>
      </c>
      <c r="B270" s="29">
        <f t="shared" si="6"/>
        <v>48.348930048486814</v>
      </c>
      <c r="C270" s="29"/>
      <c r="D270" s="29"/>
      <c r="E270" s="58">
        <f t="shared" si="7"/>
        <v>54909.9868320185</v>
      </c>
    </row>
    <row r="271" spans="1:5" ht="12.75">
      <c r="A271" s="1">
        <v>0.242</v>
      </c>
      <c r="B271" s="29">
        <f t="shared" si="6"/>
        <v>48.351898716514846</v>
      </c>
      <c r="C271" s="29"/>
      <c r="D271" s="29"/>
      <c r="E271" s="58">
        <f t="shared" si="7"/>
        <v>54911.17352688727</v>
      </c>
    </row>
    <row r="272" spans="1:5" ht="12.75">
      <c r="A272" s="1">
        <v>0.243</v>
      </c>
      <c r="B272" s="29">
        <f t="shared" si="6"/>
        <v>48.35486073854853</v>
      </c>
      <c r="C272" s="29"/>
      <c r="D272" s="29"/>
      <c r="E272" s="58">
        <f t="shared" si="7"/>
        <v>54912.35870770783</v>
      </c>
    </row>
    <row r="273" spans="1:5" ht="12.75">
      <c r="A273" s="1">
        <v>0.244</v>
      </c>
      <c r="B273" s="29">
        <f t="shared" si="6"/>
        <v>48.357816174449745</v>
      </c>
      <c r="C273" s="29"/>
      <c r="D273" s="29"/>
      <c r="E273" s="58">
        <f t="shared" si="7"/>
        <v>54913.54239077193</v>
      </c>
    </row>
    <row r="274" spans="1:5" ht="12.75">
      <c r="A274" s="1">
        <v>0.245</v>
      </c>
      <c r="B274" s="29">
        <f t="shared" si="6"/>
        <v>48.3607650834139</v>
      </c>
      <c r="C274" s="29"/>
      <c r="D274" s="29"/>
      <c r="E274" s="58">
        <f t="shared" si="7"/>
        <v>54914.72459221309</v>
      </c>
    </row>
    <row r="275" spans="1:5" ht="12.75">
      <c r="A275" s="1">
        <v>0.246</v>
      </c>
      <c r="B275" s="29">
        <f t="shared" si="6"/>
        <v>48.36370752398059</v>
      </c>
      <c r="C275" s="29"/>
      <c r="D275" s="29"/>
      <c r="E275" s="58">
        <f t="shared" si="7"/>
        <v>54915.905328008994</v>
      </c>
    </row>
    <row r="276" spans="1:5" ht="12.75">
      <c r="A276" s="1">
        <v>0.247</v>
      </c>
      <c r="B276" s="29">
        <f t="shared" si="6"/>
        <v>48.366643554044046</v>
      </c>
      <c r="C276" s="29"/>
      <c r="D276" s="29"/>
      <c r="E276" s="58">
        <f t="shared" si="7"/>
        <v>54917.08461398407</v>
      </c>
    </row>
    <row r="277" spans="1:5" ht="12.75">
      <c r="A277" s="1">
        <v>0.248</v>
      </c>
      <c r="B277" s="29">
        <f t="shared" si="6"/>
        <v>48.36957323086346</v>
      </c>
      <c r="C277" s="29"/>
      <c r="D277" s="29"/>
      <c r="E277" s="58">
        <f t="shared" si="7"/>
        <v>54918.26246581181</v>
      </c>
    </row>
    <row r="278" spans="1:5" ht="12.75">
      <c r="A278" s="1">
        <v>0.249</v>
      </c>
      <c r="B278" s="29">
        <f t="shared" si="6"/>
        <v>48.372496611073</v>
      </c>
      <c r="C278" s="29"/>
      <c r="D278" s="29"/>
      <c r="E278" s="58">
        <f t="shared" si="7"/>
        <v>54919.43889901712</v>
      </c>
    </row>
    <row r="279" spans="1:5" ht="12.75">
      <c r="A279" s="1">
        <v>0.25</v>
      </c>
      <c r="B279" s="29">
        <f t="shared" si="6"/>
        <v>48.37541375069168</v>
      </c>
      <c r="C279" s="29"/>
      <c r="D279" s="29"/>
      <c r="E279" s="58">
        <f t="shared" si="7"/>
        <v>54920.613928978746</v>
      </c>
    </row>
    <row r="280" spans="1:5" ht="12.75">
      <c r="A280" s="1">
        <v>0.251</v>
      </c>
      <c r="B280" s="29">
        <f t="shared" si="6"/>
        <v>48.37832470513308</v>
      </c>
      <c r="C280" s="29"/>
      <c r="D280" s="29"/>
      <c r="E280" s="58">
        <f t="shared" si="7"/>
        <v>54921.78757093147</v>
      </c>
    </row>
    <row r="281" spans="1:5" ht="12.75">
      <c r="A281" s="1">
        <v>0.252</v>
      </c>
      <c r="B281" s="29">
        <f t="shared" si="6"/>
        <v>48.38122952921479</v>
      </c>
      <c r="C281" s="29"/>
      <c r="D281" s="29"/>
      <c r="E281" s="58">
        <f t="shared" si="7"/>
        <v>54922.959839968324</v>
      </c>
    </row>
    <row r="282" spans="1:5" ht="12.75">
      <c r="A282" s="1">
        <v>0.253</v>
      </c>
      <c r="B282" s="29">
        <f t="shared" si="6"/>
        <v>48.38412827716776</v>
      </c>
      <c r="C282" s="29"/>
      <c r="D282" s="29"/>
      <c r="E282" s="58">
        <f t="shared" si="7"/>
        <v>54924.130751042896</v>
      </c>
    </row>
    <row r="283" spans="1:5" ht="12.75">
      <c r="A283" s="1">
        <v>0.254</v>
      </c>
      <c r="B283" s="29">
        <f t="shared" si="6"/>
        <v>48.3870210026454</v>
      </c>
      <c r="C283" s="29"/>
      <c r="D283" s="29"/>
      <c r="E283" s="58">
        <f t="shared" si="7"/>
        <v>54925.30031897139</v>
      </c>
    </row>
    <row r="284" spans="1:5" ht="12.75">
      <c r="A284" s="1">
        <v>0.255</v>
      </c>
      <c r="B284" s="29">
        <f t="shared" si="6"/>
        <v>48.38990775873256</v>
      </c>
      <c r="C284" s="29"/>
      <c r="D284" s="29"/>
      <c r="E284" s="58">
        <f t="shared" si="7"/>
        <v>54926.46855843474</v>
      </c>
    </row>
    <row r="285" spans="1:5" ht="12.75">
      <c r="A285" s="1">
        <v>0.256</v>
      </c>
      <c r="B285" s="29">
        <f t="shared" si="6"/>
        <v>48.39278859795432</v>
      </c>
      <c r="C285" s="29"/>
      <c r="D285" s="29"/>
      <c r="E285" s="58">
        <f t="shared" si="7"/>
        <v>54927.63548398078</v>
      </c>
    </row>
    <row r="286" spans="1:5" ht="12.75">
      <c r="A286" s="1">
        <v>0.257</v>
      </c>
      <c r="B286" s="29">
        <f t="shared" si="6"/>
        <v>48.3956635722846</v>
      </c>
      <c r="C286" s="29"/>
      <c r="D286" s="29"/>
      <c r="E286" s="58">
        <f t="shared" si="7"/>
        <v>54928.80111002619</v>
      </c>
    </row>
    <row r="287" spans="1:5" ht="12.75">
      <c r="A287" s="1">
        <v>0.258</v>
      </c>
      <c r="B287" s="29">
        <f aca="true" t="shared" si="8" ref="B287:B350">$C$6+NORMSINV($A287)*$C$11*$C$6</f>
        <v>48.398532733154624</v>
      </c>
      <c r="C287" s="29"/>
      <c r="D287" s="29"/>
      <c r="E287" s="58">
        <f aca="true" t="shared" si="9" ref="E287:E350">EPortfolio($C$5+1/252,$B287,$C$7,$C$8,$C$9,,$C$10,$H$7:$L$10,0)</f>
        <v>54929.96545085854</v>
      </c>
    </row>
    <row r="288" spans="1:5" ht="12.75">
      <c r="A288" s="1">
        <v>0.259</v>
      </c>
      <c r="B288" s="29">
        <f t="shared" si="8"/>
        <v>48.401396131461226</v>
      </c>
      <c r="C288" s="29"/>
      <c r="D288" s="29"/>
      <c r="E288" s="58">
        <f t="shared" si="9"/>
        <v>54931.12852063825</v>
      </c>
    </row>
    <row r="289" spans="1:5" ht="12.75">
      <c r="A289" s="1">
        <v>0.26</v>
      </c>
      <c r="B289" s="29">
        <f t="shared" si="8"/>
        <v>48.40425381757501</v>
      </c>
      <c r="C289" s="29"/>
      <c r="D289" s="29"/>
      <c r="E289" s="58">
        <f t="shared" si="9"/>
        <v>54932.29033340056</v>
      </c>
    </row>
    <row r="290" spans="1:5" ht="12.75">
      <c r="A290" s="1">
        <v>0.261</v>
      </c>
      <c r="B290" s="29">
        <f t="shared" si="8"/>
        <v>48.40710584134832</v>
      </c>
      <c r="C290" s="29"/>
      <c r="D290" s="29"/>
      <c r="E290" s="58">
        <f t="shared" si="9"/>
        <v>54933.45090305738</v>
      </c>
    </row>
    <row r="291" spans="1:5" ht="12.75">
      <c r="A291" s="1">
        <v>0.262</v>
      </c>
      <c r="B291" s="29">
        <f t="shared" si="8"/>
        <v>48.40995225212312</v>
      </c>
      <c r="C291" s="29"/>
      <c r="D291" s="29"/>
      <c r="E291" s="58">
        <f t="shared" si="9"/>
        <v>54934.6102433992</v>
      </c>
    </row>
    <row r="292" spans="1:5" ht="12.75">
      <c r="A292" s="1">
        <v>0.263</v>
      </c>
      <c r="B292" s="29">
        <f t="shared" si="8"/>
        <v>48.41279309873867</v>
      </c>
      <c r="C292" s="29"/>
      <c r="D292" s="29"/>
      <c r="E292" s="58">
        <f t="shared" si="9"/>
        <v>54935.76836809685</v>
      </c>
    </row>
    <row r="293" spans="1:5" ht="12.75">
      <c r="A293" s="1">
        <v>0.264</v>
      </c>
      <c r="B293" s="29">
        <f t="shared" si="8"/>
        <v>48.41562842953911</v>
      </c>
      <c r="C293" s="29"/>
      <c r="D293" s="29"/>
      <c r="E293" s="58">
        <f t="shared" si="9"/>
        <v>54936.92529070342</v>
      </c>
    </row>
    <row r="294" spans="1:5" ht="12.75">
      <c r="A294" s="1">
        <v>0.265</v>
      </c>
      <c r="B294" s="29">
        <f t="shared" si="8"/>
        <v>48.418458292380876</v>
      </c>
      <c r="C294" s="29"/>
      <c r="D294" s="29"/>
      <c r="E294" s="58">
        <f t="shared" si="9"/>
        <v>54938.08102465592</v>
      </c>
    </row>
    <row r="295" spans="1:5" ht="12.75">
      <c r="A295" s="1">
        <v>0.266</v>
      </c>
      <c r="B295" s="29">
        <f t="shared" si="8"/>
        <v>48.42128273463998</v>
      </c>
      <c r="C295" s="29"/>
      <c r="D295" s="29"/>
      <c r="E295" s="58">
        <f t="shared" si="9"/>
        <v>54939.235583277085</v>
      </c>
    </row>
    <row r="296" spans="1:5" ht="12.75">
      <c r="A296" s="1">
        <v>0.267</v>
      </c>
      <c r="B296" s="29">
        <f t="shared" si="8"/>
        <v>48.4241018032192</v>
      </c>
      <c r="C296" s="29"/>
      <c r="D296" s="29"/>
      <c r="E296" s="58">
        <f t="shared" si="9"/>
        <v>54940.388979777075</v>
      </c>
    </row>
    <row r="297" spans="1:5" ht="12.75">
      <c r="A297" s="1">
        <v>0.268</v>
      </c>
      <c r="B297" s="29">
        <f t="shared" si="8"/>
        <v>48.42691554455508</v>
      </c>
      <c r="C297" s="29"/>
      <c r="D297" s="29"/>
      <c r="E297" s="58">
        <f t="shared" si="9"/>
        <v>54941.54122725516</v>
      </c>
    </row>
    <row r="298" spans="1:5" ht="12.75">
      <c r="A298" s="1">
        <v>0.269</v>
      </c>
      <c r="B298" s="29">
        <f t="shared" si="8"/>
        <v>48.42972400462482</v>
      </c>
      <c r="C298" s="29"/>
      <c r="D298" s="29"/>
      <c r="E298" s="58">
        <f t="shared" si="9"/>
        <v>54942.6923387013</v>
      </c>
    </row>
    <row r="299" spans="1:5" ht="12.75">
      <c r="A299" s="1">
        <v>0.27</v>
      </c>
      <c r="B299" s="29">
        <f t="shared" si="8"/>
        <v>48.43252722895312</v>
      </c>
      <c r="C299" s="29"/>
      <c r="D299" s="29"/>
      <c r="E299" s="58">
        <f t="shared" si="9"/>
        <v>54943.84232699789</v>
      </c>
    </row>
    <row r="300" spans="1:5" ht="12.75">
      <c r="A300" s="1">
        <v>0.271</v>
      </c>
      <c r="B300" s="29">
        <f t="shared" si="8"/>
        <v>48.43532526261875</v>
      </c>
      <c r="C300" s="29"/>
      <c r="D300" s="29"/>
      <c r="E300" s="58">
        <f t="shared" si="9"/>
        <v>54944.9912049213</v>
      </c>
    </row>
    <row r="301" spans="1:5" ht="12.75">
      <c r="A301" s="1">
        <v>0.272</v>
      </c>
      <c r="B301" s="29">
        <f t="shared" si="8"/>
        <v>48.438118150261154</v>
      </c>
      <c r="C301" s="29"/>
      <c r="D301" s="29"/>
      <c r="E301" s="58">
        <f t="shared" si="9"/>
        <v>54946.13898514341</v>
      </c>
    </row>
    <row r="302" spans="1:5" ht="12.75">
      <c r="A302" s="1">
        <v>0.273</v>
      </c>
      <c r="B302" s="29">
        <f t="shared" si="8"/>
        <v>48.44090593608685</v>
      </c>
      <c r="C302" s="29"/>
      <c r="D302" s="29"/>
      <c r="E302" s="58">
        <f t="shared" si="9"/>
        <v>54947.2856802332</v>
      </c>
    </row>
    <row r="303" spans="1:5" ht="12.75">
      <c r="A303" s="1">
        <v>0.274</v>
      </c>
      <c r="B303" s="29">
        <f t="shared" si="8"/>
        <v>48.44368866387575</v>
      </c>
      <c r="C303" s="29"/>
      <c r="D303" s="29"/>
      <c r="E303" s="58">
        <f t="shared" si="9"/>
        <v>54948.43130265829</v>
      </c>
    </row>
    <row r="304" spans="1:5" ht="12.75">
      <c r="A304" s="1">
        <v>0.275</v>
      </c>
      <c r="B304" s="29">
        <f t="shared" si="8"/>
        <v>48.446466376987345</v>
      </c>
      <c r="C304" s="29"/>
      <c r="D304" s="29"/>
      <c r="E304" s="58">
        <f t="shared" si="9"/>
        <v>54949.57586478633</v>
      </c>
    </row>
    <row r="305" spans="1:5" ht="12.75">
      <c r="A305" s="1">
        <v>0.276</v>
      </c>
      <c r="B305" s="29">
        <f t="shared" si="8"/>
        <v>48.449239118366805</v>
      </c>
      <c r="C305" s="29"/>
      <c r="D305" s="29"/>
      <c r="E305" s="58">
        <f t="shared" si="9"/>
        <v>54950.71937888661</v>
      </c>
    </row>
    <row r="306" spans="1:5" ht="12.75">
      <c r="A306" s="1">
        <v>0.277</v>
      </c>
      <c r="B306" s="29">
        <f t="shared" si="8"/>
        <v>48.452006930550986</v>
      </c>
      <c r="C306" s="29"/>
      <c r="D306" s="29"/>
      <c r="E306" s="58">
        <f t="shared" si="9"/>
        <v>54951.8618571314</v>
      </c>
    </row>
    <row r="307" spans="1:5" ht="12.75">
      <c r="A307" s="1">
        <v>0.278</v>
      </c>
      <c r="B307" s="29">
        <f t="shared" si="8"/>
        <v>48.454769855674265</v>
      </c>
      <c r="C307" s="29"/>
      <c r="D307" s="29"/>
      <c r="E307" s="58">
        <f t="shared" si="9"/>
        <v>54953.003311597415</v>
      </c>
    </row>
    <row r="308" spans="1:5" ht="12.75">
      <c r="A308" s="1">
        <v>0.279</v>
      </c>
      <c r="B308" s="29">
        <f t="shared" si="8"/>
        <v>48.45752793547437</v>
      </c>
      <c r="C308" s="29"/>
      <c r="D308" s="29"/>
      <c r="E308" s="58">
        <f t="shared" si="9"/>
        <v>54954.14375426718</v>
      </c>
    </row>
    <row r="309" spans="1:5" ht="12.75">
      <c r="A309" s="1">
        <v>0.28</v>
      </c>
      <c r="B309" s="29">
        <f t="shared" si="8"/>
        <v>48.46028121129801</v>
      </c>
      <c r="C309" s="29"/>
      <c r="D309" s="29"/>
      <c r="E309" s="58">
        <f t="shared" si="9"/>
        <v>54955.283197030454</v>
      </c>
    </row>
    <row r="310" spans="1:5" ht="12.75">
      <c r="A310" s="1">
        <v>0.281</v>
      </c>
      <c r="B310" s="29">
        <f t="shared" si="8"/>
        <v>48.463029724106526</v>
      </c>
      <c r="C310" s="29"/>
      <c r="D310" s="29"/>
      <c r="E310" s="58">
        <f t="shared" si="9"/>
        <v>54956.42165168555</v>
      </c>
    </row>
    <row r="311" spans="1:5" ht="12.75">
      <c r="A311" s="1">
        <v>0.28200000000000003</v>
      </c>
      <c r="B311" s="29">
        <f t="shared" si="8"/>
        <v>48.465773514481306</v>
      </c>
      <c r="C311" s="29"/>
      <c r="D311" s="29"/>
      <c r="E311" s="58">
        <f t="shared" si="9"/>
        <v>54957.559129940666</v>
      </c>
    </row>
    <row r="312" spans="1:5" ht="12.75">
      <c r="A312" s="1">
        <v>0.28300000000000003</v>
      </c>
      <c r="B312" s="29">
        <f t="shared" si="8"/>
        <v>48.46851262262923</v>
      </c>
      <c r="C312" s="29"/>
      <c r="D312" s="29"/>
      <c r="E312" s="58">
        <f t="shared" si="9"/>
        <v>54958.69564341521</v>
      </c>
    </row>
    <row r="313" spans="1:5" ht="12.75">
      <c r="A313" s="1">
        <v>0.28400000000000003</v>
      </c>
      <c r="B313" s="29">
        <f t="shared" si="8"/>
        <v>48.47124708838794</v>
      </c>
      <c r="C313" s="29"/>
      <c r="D313" s="29"/>
      <c r="E313" s="58">
        <f t="shared" si="9"/>
        <v>54959.831203641064</v>
      </c>
    </row>
    <row r="314" spans="1:5" ht="12.75">
      <c r="A314" s="1">
        <v>0.285</v>
      </c>
      <c r="B314" s="29">
        <f t="shared" si="8"/>
        <v>48.4739769512311</v>
      </c>
      <c r="C314" s="29"/>
      <c r="D314" s="29"/>
      <c r="E314" s="58">
        <f t="shared" si="9"/>
        <v>54960.965822063896</v>
      </c>
    </row>
    <row r="315" spans="1:5" ht="12.75">
      <c r="A315" s="1">
        <v>0.28600000000000003</v>
      </c>
      <c r="B315" s="29">
        <f t="shared" si="8"/>
        <v>48.47670225027346</v>
      </c>
      <c r="C315" s="29"/>
      <c r="D315" s="29"/>
      <c r="E315" s="58">
        <f t="shared" si="9"/>
        <v>54962.09951004434</v>
      </c>
    </row>
    <row r="316" spans="1:5" ht="12.75">
      <c r="A316" s="1">
        <v>0.28700000000000003</v>
      </c>
      <c r="B316" s="29">
        <f t="shared" si="8"/>
        <v>48.47942302427596</v>
      </c>
      <c r="C316" s="29"/>
      <c r="D316" s="29"/>
      <c r="E316" s="58">
        <f t="shared" si="9"/>
        <v>54963.23227885933</v>
      </c>
    </row>
    <row r="317" spans="1:5" ht="12.75">
      <c r="A317" s="1">
        <v>0.28800000000000003</v>
      </c>
      <c r="B317" s="29">
        <f t="shared" si="8"/>
        <v>48.48213931165063</v>
      </c>
      <c r="C317" s="29"/>
      <c r="D317" s="29"/>
      <c r="E317" s="58">
        <f t="shared" si="9"/>
        <v>54964.3641397032</v>
      </c>
    </row>
    <row r="318" spans="1:5" ht="12.75">
      <c r="A318" s="1">
        <v>0.28900000000000003</v>
      </c>
      <c r="B318" s="29">
        <f t="shared" si="8"/>
        <v>48.48485115046549</v>
      </c>
      <c r="C318" s="29"/>
      <c r="D318" s="29"/>
      <c r="E318" s="58">
        <f t="shared" si="9"/>
        <v>54965.49510368891</v>
      </c>
    </row>
    <row r="319" spans="1:5" ht="12.75">
      <c r="A319" s="1">
        <v>0.29</v>
      </c>
      <c r="B319" s="29">
        <f t="shared" si="8"/>
        <v>48.48755857844937</v>
      </c>
      <c r="C319" s="29"/>
      <c r="D319" s="29"/>
      <c r="E319" s="58">
        <f t="shared" si="9"/>
        <v>54966.62518184928</v>
      </c>
    </row>
    <row r="320" spans="1:5" ht="12.75">
      <c r="A320" s="1">
        <v>0.291</v>
      </c>
      <c r="B320" s="29">
        <f t="shared" si="8"/>
        <v>48.49026163299656</v>
      </c>
      <c r="C320" s="29"/>
      <c r="D320" s="29"/>
      <c r="E320" s="58">
        <f t="shared" si="9"/>
        <v>54967.75438513806</v>
      </c>
    </row>
    <row r="321" spans="1:5" ht="12.75">
      <c r="A321" s="1">
        <v>0.292</v>
      </c>
      <c r="B321" s="29">
        <f t="shared" si="8"/>
        <v>48.49296035117152</v>
      </c>
      <c r="C321" s="29"/>
      <c r="D321" s="29"/>
      <c r="E321" s="58">
        <f t="shared" si="9"/>
        <v>54968.88272443111</v>
      </c>
    </row>
    <row r="322" spans="1:5" ht="12.75">
      <c r="A322" s="1">
        <v>0.293</v>
      </c>
      <c r="B322" s="29">
        <f t="shared" si="8"/>
        <v>48.49565476971338</v>
      </c>
      <c r="C322" s="29"/>
      <c r="D322" s="29"/>
      <c r="E322" s="58">
        <f t="shared" si="9"/>
        <v>54970.010210527515</v>
      </c>
    </row>
    <row r="323" spans="1:5" ht="12.75">
      <c r="A323" s="1">
        <v>0.294</v>
      </c>
      <c r="B323" s="29">
        <f t="shared" si="8"/>
        <v>48.49834492504046</v>
      </c>
      <c r="C323" s="29"/>
      <c r="D323" s="29"/>
      <c r="E323" s="58">
        <f t="shared" si="9"/>
        <v>54971.13685415069</v>
      </c>
    </row>
    <row r="324" spans="1:5" ht="12.75">
      <c r="A324" s="1">
        <v>0.295</v>
      </c>
      <c r="B324" s="29">
        <f t="shared" si="8"/>
        <v>48.50103085325468</v>
      </c>
      <c r="C324" s="29"/>
      <c r="D324" s="29"/>
      <c r="E324" s="58">
        <f t="shared" si="9"/>
        <v>54972.26266594943</v>
      </c>
    </row>
    <row r="325" spans="1:5" ht="12.75">
      <c r="A325" s="1">
        <v>0.296</v>
      </c>
      <c r="B325" s="29">
        <f t="shared" si="8"/>
        <v>48.503712590145895</v>
      </c>
      <c r="C325" s="29"/>
      <c r="D325" s="29"/>
      <c r="E325" s="58">
        <f t="shared" si="9"/>
        <v>54973.38765649903</v>
      </c>
    </row>
    <row r="326" spans="1:5" ht="12.75">
      <c r="A326" s="1">
        <v>0.297</v>
      </c>
      <c r="B326" s="29">
        <f t="shared" si="8"/>
        <v>48.50639017119616</v>
      </c>
      <c r="C326" s="29"/>
      <c r="D326" s="29"/>
      <c r="E326" s="58">
        <f t="shared" si="9"/>
        <v>54974.51183630232</v>
      </c>
    </row>
    <row r="327" spans="1:5" ht="12.75">
      <c r="A327" s="1">
        <v>0.298</v>
      </c>
      <c r="B327" s="29">
        <f t="shared" si="8"/>
        <v>48.50906363158396</v>
      </c>
      <c r="C327" s="29"/>
      <c r="D327" s="29"/>
      <c r="E327" s="58">
        <f t="shared" si="9"/>
        <v>54975.63521579072</v>
      </c>
    </row>
    <row r="328" spans="1:5" ht="12.75">
      <c r="A328" s="1">
        <v>0.299</v>
      </c>
      <c r="B328" s="29">
        <f t="shared" si="8"/>
        <v>48.51173300618833</v>
      </c>
      <c r="C328" s="29"/>
      <c r="D328" s="29"/>
      <c r="E328" s="58">
        <f t="shared" si="9"/>
        <v>54976.75780532518</v>
      </c>
    </row>
    <row r="329" spans="1:5" ht="12.75">
      <c r="A329" s="1">
        <v>0.3</v>
      </c>
      <c r="B329" s="29">
        <f t="shared" si="8"/>
        <v>48.514398329592915</v>
      </c>
      <c r="C329" s="29"/>
      <c r="D329" s="29"/>
      <c r="E329" s="58">
        <f t="shared" si="9"/>
        <v>54977.879615197315</v>
      </c>
    </row>
    <row r="330" spans="1:5" ht="12.75">
      <c r="A330" s="1">
        <v>0.301</v>
      </c>
      <c r="B330" s="29">
        <f t="shared" si="8"/>
        <v>48.51705963609</v>
      </c>
      <c r="C330" s="29"/>
      <c r="D330" s="29"/>
      <c r="E330" s="58">
        <f t="shared" si="9"/>
        <v>54979.00065563028</v>
      </c>
    </row>
    <row r="331" spans="1:5" ht="12.75">
      <c r="A331" s="1">
        <v>0.302</v>
      </c>
      <c r="B331" s="29">
        <f t="shared" si="8"/>
        <v>48.51971695968445</v>
      </c>
      <c r="C331" s="29"/>
      <c r="D331" s="29"/>
      <c r="E331" s="58">
        <f t="shared" si="9"/>
        <v>54980.12093677985</v>
      </c>
    </row>
    <row r="332" spans="1:5" ht="12.75">
      <c r="A332" s="1">
        <v>0.303</v>
      </c>
      <c r="B332" s="29">
        <f t="shared" si="8"/>
        <v>48.52237033409756</v>
      </c>
      <c r="C332" s="29"/>
      <c r="D332" s="29"/>
      <c r="E332" s="58">
        <f t="shared" si="9"/>
        <v>54981.2404687353</v>
      </c>
    </row>
    <row r="333" spans="1:5" ht="12.75">
      <c r="A333" s="1">
        <v>0.304</v>
      </c>
      <c r="B333" s="29">
        <f t="shared" si="8"/>
        <v>48.52501979277091</v>
      </c>
      <c r="C333" s="29"/>
      <c r="D333" s="29"/>
      <c r="E333" s="58">
        <f t="shared" si="9"/>
        <v>54982.35926152039</v>
      </c>
    </row>
    <row r="334" spans="1:5" ht="12.75">
      <c r="A334" s="1">
        <v>0.305</v>
      </c>
      <c r="B334" s="29">
        <f t="shared" si="8"/>
        <v>48.52766536887013</v>
      </c>
      <c r="C334" s="29"/>
      <c r="D334" s="29"/>
      <c r="E334" s="58">
        <f t="shared" si="9"/>
        <v>54983.47732509429</v>
      </c>
    </row>
    <row r="335" spans="1:5" ht="12.75">
      <c r="A335" s="1">
        <v>0.306</v>
      </c>
      <c r="B335" s="29">
        <f t="shared" si="8"/>
        <v>48.53030709528856</v>
      </c>
      <c r="C335" s="29"/>
      <c r="D335" s="29"/>
      <c r="E335" s="58">
        <f t="shared" si="9"/>
        <v>54984.59466935254</v>
      </c>
    </row>
    <row r="336" spans="1:5" ht="12.75">
      <c r="A336" s="1">
        <v>0.307</v>
      </c>
      <c r="B336" s="29">
        <f t="shared" si="8"/>
        <v>48.53294500465094</v>
      </c>
      <c r="C336" s="29"/>
      <c r="D336" s="29"/>
      <c r="E336" s="58">
        <f t="shared" si="9"/>
        <v>54985.711304127915</v>
      </c>
    </row>
    <row r="337" spans="1:5" ht="12.75">
      <c r="A337" s="1">
        <v>0.308</v>
      </c>
      <c r="B337" s="29">
        <f t="shared" si="8"/>
        <v>48.53557912931697</v>
      </c>
      <c r="C337" s="29"/>
      <c r="D337" s="29"/>
      <c r="E337" s="58">
        <f t="shared" si="9"/>
        <v>54986.82723919134</v>
      </c>
    </row>
    <row r="338" spans="1:5" ht="12.75">
      <c r="A338" s="1">
        <v>0.309</v>
      </c>
      <c r="B338" s="29">
        <f t="shared" si="8"/>
        <v>48.53820950138485</v>
      </c>
      <c r="C338" s="29"/>
      <c r="D338" s="29"/>
      <c r="E338" s="58">
        <f t="shared" si="9"/>
        <v>54987.942484252766</v>
      </c>
    </row>
    <row r="339" spans="1:5" ht="12.75">
      <c r="A339" s="1">
        <v>0.31</v>
      </c>
      <c r="B339" s="29">
        <f t="shared" si="8"/>
        <v>48.54083615269477</v>
      </c>
      <c r="C339" s="29"/>
      <c r="D339" s="29"/>
      <c r="E339" s="58">
        <f t="shared" si="9"/>
        <v>54989.05704896204</v>
      </c>
    </row>
    <row r="340" spans="1:5" ht="12.75">
      <c r="A340" s="1">
        <v>0.311</v>
      </c>
      <c r="B340" s="29">
        <f t="shared" si="8"/>
        <v>48.54345911483234</v>
      </c>
      <c r="C340" s="29"/>
      <c r="D340" s="29"/>
      <c r="E340" s="58">
        <f t="shared" si="9"/>
        <v>54990.17094290979</v>
      </c>
    </row>
    <row r="341" spans="1:5" ht="12.75">
      <c r="A341" s="1">
        <v>0.312</v>
      </c>
      <c r="B341" s="29">
        <f t="shared" si="8"/>
        <v>48.54607841913191</v>
      </c>
      <c r="C341" s="29"/>
      <c r="D341" s="29"/>
      <c r="E341" s="58">
        <f t="shared" si="9"/>
        <v>54991.284175628236</v>
      </c>
    </row>
    <row r="342" spans="1:5" ht="12.75">
      <c r="A342" s="1">
        <v>0.313</v>
      </c>
      <c r="B342" s="29">
        <f t="shared" si="8"/>
        <v>48.54869409667998</v>
      </c>
      <c r="C342" s="29"/>
      <c r="D342" s="29"/>
      <c r="E342" s="58">
        <f t="shared" si="9"/>
        <v>54992.39675659203</v>
      </c>
    </row>
    <row r="343" spans="1:5" ht="12.75">
      <c r="A343" s="1">
        <v>0.314</v>
      </c>
      <c r="B343" s="29">
        <f t="shared" si="8"/>
        <v>48.55130617831841</v>
      </c>
      <c r="C343" s="29"/>
      <c r="D343" s="29"/>
      <c r="E343" s="58">
        <f t="shared" si="9"/>
        <v>54993.50869521915</v>
      </c>
    </row>
    <row r="344" spans="1:5" ht="12.75">
      <c r="A344" s="1">
        <v>0.315</v>
      </c>
      <c r="B344" s="29">
        <f t="shared" si="8"/>
        <v>48.553914694647666</v>
      </c>
      <c r="C344" s="29"/>
      <c r="D344" s="29"/>
      <c r="E344" s="58">
        <f t="shared" si="9"/>
        <v>54994.62000087159</v>
      </c>
    </row>
    <row r="345" spans="1:5" ht="12.75">
      <c r="A345" s="1">
        <v>0.316</v>
      </c>
      <c r="B345" s="29">
        <f t="shared" si="8"/>
        <v>48.55651967602998</v>
      </c>
      <c r="C345" s="29"/>
      <c r="D345" s="29"/>
      <c r="E345" s="58">
        <f t="shared" si="9"/>
        <v>54995.730682856236</v>
      </c>
    </row>
    <row r="346" spans="1:5" ht="12.75">
      <c r="A346" s="1">
        <v>0.317</v>
      </c>
      <c r="B346" s="29">
        <f t="shared" si="8"/>
        <v>48.55912115259251</v>
      </c>
      <c r="C346" s="29"/>
      <c r="D346" s="29"/>
      <c r="E346" s="58">
        <f t="shared" si="9"/>
        <v>54996.84075042569</v>
      </c>
    </row>
    <row r="347" spans="1:5" ht="12.75">
      <c r="A347" s="1">
        <v>0.318</v>
      </c>
      <c r="B347" s="29">
        <f t="shared" si="8"/>
        <v>48.56171915423038</v>
      </c>
      <c r="C347" s="29"/>
      <c r="D347" s="29"/>
      <c r="E347" s="58">
        <f t="shared" si="9"/>
        <v>54997.95021277896</v>
      </c>
    </row>
    <row r="348" spans="1:5" ht="12.75">
      <c r="A348" s="1">
        <v>0.319</v>
      </c>
      <c r="B348" s="29">
        <f t="shared" si="8"/>
        <v>48.56431371060975</v>
      </c>
      <c r="C348" s="29"/>
      <c r="D348" s="29"/>
      <c r="E348" s="58">
        <f t="shared" si="9"/>
        <v>54999.05907906229</v>
      </c>
    </row>
    <row r="349" spans="1:5" ht="12.75">
      <c r="A349" s="1">
        <v>0.32</v>
      </c>
      <c r="B349" s="29">
        <f t="shared" si="8"/>
        <v>48.56690485117081</v>
      </c>
      <c r="C349" s="29"/>
      <c r="D349" s="29"/>
      <c r="E349" s="58">
        <f t="shared" si="9"/>
        <v>55000.16735836994</v>
      </c>
    </row>
    <row r="350" spans="1:5" ht="12.75">
      <c r="A350" s="1">
        <v>0.321</v>
      </c>
      <c r="B350" s="29">
        <f t="shared" si="8"/>
        <v>48.56949260513068</v>
      </c>
      <c r="C350" s="29"/>
      <c r="D350" s="29"/>
      <c r="E350" s="58">
        <f t="shared" si="9"/>
        <v>55001.27505974485</v>
      </c>
    </row>
    <row r="351" spans="1:5" ht="12.75">
      <c r="A351" s="1">
        <v>0.322</v>
      </c>
      <c r="B351" s="29">
        <f aca="true" t="shared" si="10" ref="B351:B414">$C$6+NORMSINV($A351)*$C$11*$C$6</f>
        <v>48.57207700148637</v>
      </c>
      <c r="C351" s="29"/>
      <c r="D351" s="29"/>
      <c r="E351" s="58">
        <f aca="true" t="shared" si="11" ref="E351:E414">EPortfolio($C$5+1/252,$B351,$C$7,$C$8,$C$9,,$C$10,$H$7:$L$10,0)</f>
        <v>55002.38219217945</v>
      </c>
    </row>
    <row r="352" spans="1:5" ht="12.75">
      <c r="A352" s="1">
        <v>0.323</v>
      </c>
      <c r="B352" s="29">
        <f t="shared" si="10"/>
        <v>48.57465806901762</v>
      </c>
      <c r="C352" s="29"/>
      <c r="D352" s="29"/>
      <c r="E352" s="58">
        <f t="shared" si="11"/>
        <v>55003.488764616384</v>
      </c>
    </row>
    <row r="353" spans="1:5" ht="12.75">
      <c r="A353" s="1">
        <v>0.324</v>
      </c>
      <c r="B353" s="29">
        <f t="shared" si="10"/>
        <v>48.57723583628972</v>
      </c>
      <c r="C353" s="29"/>
      <c r="D353" s="29"/>
      <c r="E353" s="58">
        <f t="shared" si="11"/>
        <v>55004.5947859492</v>
      </c>
    </row>
    <row r="354" spans="1:5" ht="12.75">
      <c r="A354" s="1">
        <v>0.325</v>
      </c>
      <c r="B354" s="29">
        <f t="shared" si="10"/>
        <v>48.579810331656276</v>
      </c>
      <c r="C354" s="29"/>
      <c r="D354" s="29"/>
      <c r="E354" s="58">
        <f t="shared" si="11"/>
        <v>55005.70026502309</v>
      </c>
    </row>
    <row r="355" spans="1:5" ht="12.75">
      <c r="A355" s="1">
        <v>0.326</v>
      </c>
      <c r="B355" s="29">
        <f t="shared" si="10"/>
        <v>48.58238158326199</v>
      </c>
      <c r="C355" s="29"/>
      <c r="D355" s="29"/>
      <c r="E355" s="58">
        <f t="shared" si="11"/>
        <v>55006.80521063556</v>
      </c>
    </row>
    <row r="356" spans="1:5" ht="12.75">
      <c r="A356" s="1">
        <v>0.327</v>
      </c>
      <c r="B356" s="29">
        <f t="shared" si="10"/>
        <v>48.584949619045325</v>
      </c>
      <c r="C356" s="29"/>
      <c r="D356" s="29"/>
      <c r="E356" s="58">
        <f t="shared" si="11"/>
        <v>55007.90963153717</v>
      </c>
    </row>
    <row r="357" spans="1:5" ht="12.75">
      <c r="A357" s="1">
        <v>0.328</v>
      </c>
      <c r="B357" s="29">
        <f t="shared" si="10"/>
        <v>48.587514466741176</v>
      </c>
      <c r="C357" s="29"/>
      <c r="D357" s="29"/>
      <c r="E357" s="58">
        <f t="shared" si="11"/>
        <v>55009.01353643215</v>
      </c>
    </row>
    <row r="358" spans="1:5" ht="12.75">
      <c r="A358" s="1">
        <v>0.329</v>
      </c>
      <c r="B358" s="29">
        <f t="shared" si="10"/>
        <v>48.5900761538835</v>
      </c>
      <c r="C358" s="29"/>
      <c r="D358" s="29"/>
      <c r="E358" s="58">
        <f t="shared" si="11"/>
        <v>55010.11693397917</v>
      </c>
    </row>
    <row r="359" spans="1:5" ht="12.75">
      <c r="A359" s="1">
        <v>0.33</v>
      </c>
      <c r="B359" s="29">
        <f t="shared" si="10"/>
        <v>48.59263470780791</v>
      </c>
      <c r="C359" s="29"/>
      <c r="D359" s="29"/>
      <c r="E359" s="58">
        <f t="shared" si="11"/>
        <v>55011.21983279189</v>
      </c>
    </row>
    <row r="360" spans="1:5" ht="12.75">
      <c r="A360" s="1">
        <v>0.331</v>
      </c>
      <c r="B360" s="29">
        <f t="shared" si="10"/>
        <v>48.595190155654215</v>
      </c>
      <c r="C360" s="29"/>
      <c r="D360" s="29"/>
      <c r="E360" s="58">
        <f t="shared" si="11"/>
        <v>55012.32224143972</v>
      </c>
    </row>
    <row r="361" spans="1:5" ht="12.75">
      <c r="A361" s="1">
        <v>0.332</v>
      </c>
      <c r="B361" s="29">
        <f t="shared" si="10"/>
        <v>48.59774252436892</v>
      </c>
      <c r="C361" s="29"/>
      <c r="D361" s="29"/>
      <c r="E361" s="58">
        <f t="shared" si="11"/>
        <v>55013.42416844839</v>
      </c>
    </row>
    <row r="362" spans="1:5" ht="12.75">
      <c r="A362" s="1">
        <v>0.333</v>
      </c>
      <c r="B362" s="29">
        <f t="shared" si="10"/>
        <v>48.60029184070775</v>
      </c>
      <c r="C362" s="29"/>
      <c r="D362" s="29"/>
      <c r="E362" s="58">
        <f t="shared" si="11"/>
        <v>55014.525622300695</v>
      </c>
    </row>
    <row r="363" spans="1:5" ht="12.75">
      <c r="A363" s="1">
        <v>0.334</v>
      </c>
      <c r="B363" s="29">
        <f t="shared" si="10"/>
        <v>48.60283813123805</v>
      </c>
      <c r="C363" s="29"/>
      <c r="D363" s="29"/>
      <c r="E363" s="58">
        <f t="shared" si="11"/>
        <v>55015.626611437016</v>
      </c>
    </row>
    <row r="364" spans="1:5" ht="12.75">
      <c r="A364" s="1">
        <v>0.335</v>
      </c>
      <c r="B364" s="29">
        <f t="shared" si="10"/>
        <v>48.60538142234123</v>
      </c>
      <c r="C364" s="29"/>
      <c r="D364" s="29"/>
      <c r="E364" s="58">
        <f t="shared" si="11"/>
        <v>55016.727144256</v>
      </c>
    </row>
    <row r="365" spans="1:5" ht="12.75">
      <c r="A365" s="1">
        <v>0.336</v>
      </c>
      <c r="B365" s="29">
        <f t="shared" si="10"/>
        <v>48.607921740215126</v>
      </c>
      <c r="C365" s="29"/>
      <c r="D365" s="29"/>
      <c r="E365" s="58">
        <f t="shared" si="11"/>
        <v>55017.827229115166</v>
      </c>
    </row>
    <row r="366" spans="1:5" ht="12.75">
      <c r="A366" s="1">
        <v>0.337</v>
      </c>
      <c r="B366" s="29">
        <f t="shared" si="10"/>
        <v>48.61045911087635</v>
      </c>
      <c r="C366" s="29"/>
      <c r="D366" s="29"/>
      <c r="E366" s="58">
        <f t="shared" si="11"/>
        <v>55018.92687433159</v>
      </c>
    </row>
    <row r="367" spans="1:5" ht="12.75">
      <c r="A367" s="1">
        <v>0.338</v>
      </c>
      <c r="B367" s="29">
        <f t="shared" si="10"/>
        <v>48.61299356016261</v>
      </c>
      <c r="C367" s="29"/>
      <c r="D367" s="29"/>
      <c r="E367" s="58">
        <f t="shared" si="11"/>
        <v>55020.02608818235</v>
      </c>
    </row>
    <row r="368" spans="1:5" ht="12.75">
      <c r="A368" s="1">
        <v>0.339</v>
      </c>
      <c r="B368" s="29">
        <f t="shared" si="10"/>
        <v>48.61552511373496</v>
      </c>
      <c r="C368" s="29"/>
      <c r="D368" s="29"/>
      <c r="E368" s="58">
        <f t="shared" si="11"/>
        <v>55021.12487890527</v>
      </c>
    </row>
    <row r="369" spans="1:5" ht="12.75">
      <c r="A369" s="1">
        <v>0.34</v>
      </c>
      <c r="B369" s="29">
        <f t="shared" si="10"/>
        <v>48.61805379708011</v>
      </c>
      <c r="C369" s="29"/>
      <c r="D369" s="29"/>
      <c r="E369" s="58">
        <f t="shared" si="11"/>
        <v>55022.22325469944</v>
      </c>
    </row>
    <row r="370" spans="1:5" ht="12.75">
      <c r="A370" s="1">
        <v>0.341</v>
      </c>
      <c r="B370" s="29">
        <f t="shared" si="10"/>
        <v>48.6205796355126</v>
      </c>
      <c r="C370" s="29"/>
      <c r="D370" s="29"/>
      <c r="E370" s="58">
        <f t="shared" si="11"/>
        <v>55023.32122372584</v>
      </c>
    </row>
    <row r="371" spans="1:5" ht="12.75">
      <c r="A371" s="1">
        <v>0.342</v>
      </c>
      <c r="B371" s="29">
        <f t="shared" si="10"/>
        <v>48.62310265417701</v>
      </c>
      <c r="C371" s="29"/>
      <c r="D371" s="29"/>
      <c r="E371" s="58">
        <f t="shared" si="11"/>
        <v>55024.41879410785</v>
      </c>
    </row>
    <row r="372" spans="1:5" ht="12.75">
      <c r="A372" s="1">
        <v>0.343</v>
      </c>
      <c r="B372" s="29">
        <f t="shared" si="10"/>
        <v>48.62562287805011</v>
      </c>
      <c r="C372" s="29"/>
      <c r="D372" s="29"/>
      <c r="E372" s="58">
        <f t="shared" si="11"/>
        <v>55025.515973931884</v>
      </c>
    </row>
    <row r="373" spans="1:5" ht="12.75">
      <c r="A373" s="1">
        <v>0.34400000000000003</v>
      </c>
      <c r="B373" s="29">
        <f t="shared" si="10"/>
        <v>48.628140331942994</v>
      </c>
      <c r="C373" s="29"/>
      <c r="D373" s="29"/>
      <c r="E373" s="58">
        <f t="shared" si="11"/>
        <v>55026.61277124792</v>
      </c>
    </row>
    <row r="374" spans="1:5" ht="12.75">
      <c r="A374" s="1">
        <v>0.345</v>
      </c>
      <c r="B374" s="29">
        <f t="shared" si="10"/>
        <v>48.630655040503214</v>
      </c>
      <c r="C374" s="29"/>
      <c r="D374" s="29"/>
      <c r="E374" s="58">
        <f t="shared" si="11"/>
        <v>55027.70919407008</v>
      </c>
    </row>
    <row r="375" spans="1:5" ht="12.75">
      <c r="A375" s="1">
        <v>0.34600000000000003</v>
      </c>
      <c r="B375" s="29">
        <f t="shared" si="10"/>
        <v>48.6331670282168</v>
      </c>
      <c r="C375" s="29"/>
      <c r="D375" s="29"/>
      <c r="E375" s="58">
        <f t="shared" si="11"/>
        <v>55028.80525037713</v>
      </c>
    </row>
    <row r="376" spans="1:5" ht="12.75">
      <c r="A376" s="1">
        <v>0.34700000000000003</v>
      </c>
      <c r="B376" s="29">
        <f t="shared" si="10"/>
        <v>48.63567631941038</v>
      </c>
      <c r="C376" s="29"/>
      <c r="D376" s="29"/>
      <c r="E376" s="58">
        <f t="shared" si="11"/>
        <v>55029.90094811308</v>
      </c>
    </row>
    <row r="377" spans="1:5" ht="12.75">
      <c r="A377" s="1">
        <v>0.34800000000000003</v>
      </c>
      <c r="B377" s="29">
        <f t="shared" si="10"/>
        <v>48.638182938253124</v>
      </c>
      <c r="C377" s="29"/>
      <c r="D377" s="29"/>
      <c r="E377" s="58">
        <f t="shared" si="11"/>
        <v>55030.99629518771</v>
      </c>
    </row>
    <row r="378" spans="1:5" ht="12.75">
      <c r="A378" s="1">
        <v>0.34900000000000003</v>
      </c>
      <c r="B378" s="29">
        <f t="shared" si="10"/>
        <v>48.64068690875881</v>
      </c>
      <c r="C378" s="29"/>
      <c r="D378" s="29"/>
      <c r="E378" s="58">
        <f t="shared" si="11"/>
        <v>55032.09129947706</v>
      </c>
    </row>
    <row r="379" spans="1:5" ht="12.75">
      <c r="A379" s="1">
        <v>0.35</v>
      </c>
      <c r="B379" s="29">
        <f t="shared" si="10"/>
        <v>48.64318825478775</v>
      </c>
      <c r="C379" s="29"/>
      <c r="D379" s="29"/>
      <c r="E379" s="58">
        <f t="shared" si="11"/>
        <v>55033.18596882404</v>
      </c>
    </row>
    <row r="380" spans="1:5" ht="12.75">
      <c r="A380" s="1">
        <v>0.35100000000000003</v>
      </c>
      <c r="B380" s="29">
        <f t="shared" si="10"/>
        <v>48.64568700004877</v>
      </c>
      <c r="C380" s="29"/>
      <c r="D380" s="29"/>
      <c r="E380" s="58">
        <f t="shared" si="11"/>
        <v>55034.2803110388</v>
      </c>
    </row>
    <row r="381" spans="1:5" ht="12.75">
      <c r="A381" s="1">
        <v>0.35200000000000004</v>
      </c>
      <c r="B381" s="29">
        <f t="shared" si="10"/>
        <v>48.64818316810106</v>
      </c>
      <c r="C381" s="29"/>
      <c r="D381" s="29"/>
      <c r="E381" s="58">
        <f t="shared" si="11"/>
        <v>55035.37433389943</v>
      </c>
    </row>
    <row r="382" spans="1:5" ht="12.75">
      <c r="A382" s="1">
        <v>0.353</v>
      </c>
      <c r="B382" s="29">
        <f t="shared" si="10"/>
        <v>48.65067678235618</v>
      </c>
      <c r="C382" s="29"/>
      <c r="D382" s="29"/>
      <c r="E382" s="58">
        <f t="shared" si="11"/>
        <v>55036.468045152345</v>
      </c>
    </row>
    <row r="383" spans="1:5" ht="12.75">
      <c r="A383" s="1">
        <v>0.354</v>
      </c>
      <c r="B383" s="29">
        <f t="shared" si="10"/>
        <v>48.653167866079826</v>
      </c>
      <c r="C383" s="29"/>
      <c r="D383" s="29"/>
      <c r="E383" s="58">
        <f t="shared" si="11"/>
        <v>55037.56145251281</v>
      </c>
    </row>
    <row r="384" spans="1:5" ht="12.75">
      <c r="A384" s="1">
        <v>0.355</v>
      </c>
      <c r="B384" s="29">
        <f t="shared" si="10"/>
        <v>48.65565644239373</v>
      </c>
      <c r="C384" s="29"/>
      <c r="D384" s="29"/>
      <c r="E384" s="58">
        <f t="shared" si="11"/>
        <v>55038.65456366547</v>
      </c>
    </row>
    <row r="385" spans="1:5" ht="12.75">
      <c r="A385" s="1">
        <v>0.356</v>
      </c>
      <c r="B385" s="29">
        <f t="shared" si="10"/>
        <v>48.65814253427748</v>
      </c>
      <c r="C385" s="29"/>
      <c r="D385" s="29"/>
      <c r="E385" s="58">
        <f t="shared" si="11"/>
        <v>55039.74738626481</v>
      </c>
    </row>
    <row r="386" spans="1:5" ht="12.75">
      <c r="A386" s="1">
        <v>0.357</v>
      </c>
      <c r="B386" s="29">
        <f t="shared" si="10"/>
        <v>48.66062616457031</v>
      </c>
      <c r="C386" s="29"/>
      <c r="D386" s="29"/>
      <c r="E386" s="58">
        <f t="shared" si="11"/>
        <v>55040.83992793565</v>
      </c>
    </row>
    <row r="387" spans="1:5" ht="12.75">
      <c r="A387" s="1">
        <v>0.358</v>
      </c>
      <c r="B387" s="29">
        <f t="shared" si="10"/>
        <v>48.66310735597288</v>
      </c>
      <c r="C387" s="29"/>
      <c r="D387" s="29"/>
      <c r="E387" s="58">
        <f t="shared" si="11"/>
        <v>55041.93219627364</v>
      </c>
    </row>
    <row r="388" spans="1:5" ht="12.75">
      <c r="A388" s="1">
        <v>0.359</v>
      </c>
      <c r="B388" s="29">
        <f t="shared" si="10"/>
        <v>48.66558613104905</v>
      </c>
      <c r="C388" s="29"/>
      <c r="D388" s="29"/>
      <c r="E388" s="58">
        <f t="shared" si="11"/>
        <v>55043.02419884572</v>
      </c>
    </row>
    <row r="389" spans="1:5" ht="12.75">
      <c r="A389" s="1">
        <v>0.36</v>
      </c>
      <c r="B389" s="29">
        <f t="shared" si="10"/>
        <v>48.66806251222756</v>
      </c>
      <c r="C389" s="29"/>
      <c r="D389" s="29"/>
      <c r="E389" s="58">
        <f t="shared" si="11"/>
        <v>55044.11594319062</v>
      </c>
    </row>
    <row r="390" spans="1:5" ht="12.75">
      <c r="A390" s="1">
        <v>0.361</v>
      </c>
      <c r="B390" s="29">
        <f t="shared" si="10"/>
        <v>48.67053652180382</v>
      </c>
      <c r="C390" s="29"/>
      <c r="D390" s="29"/>
      <c r="E390" s="58">
        <f t="shared" si="11"/>
        <v>55045.20743681928</v>
      </c>
    </row>
    <row r="391" spans="1:5" ht="12.75">
      <c r="A391" s="1">
        <v>0.362</v>
      </c>
      <c r="B391" s="29">
        <f t="shared" si="10"/>
        <v>48.67300818194155</v>
      </c>
      <c r="C391" s="29"/>
      <c r="D391" s="29"/>
      <c r="E391" s="58">
        <f t="shared" si="11"/>
        <v>55046.29868721534</v>
      </c>
    </row>
    <row r="392" spans="1:5" ht="12.75">
      <c r="A392" s="1">
        <v>0.363</v>
      </c>
      <c r="B392" s="29">
        <f t="shared" si="10"/>
        <v>48.67547751467446</v>
      </c>
      <c r="C392" s="29"/>
      <c r="D392" s="29"/>
      <c r="E392" s="58">
        <f t="shared" si="11"/>
        <v>55047.38970183564</v>
      </c>
    </row>
    <row r="393" spans="1:5" ht="12.75">
      <c r="A393" s="1">
        <v>0.364</v>
      </c>
      <c r="B393" s="29">
        <f t="shared" si="10"/>
        <v>48.67794454190792</v>
      </c>
      <c r="C393" s="29"/>
      <c r="D393" s="29"/>
      <c r="E393" s="58">
        <f t="shared" si="11"/>
        <v>55048.48048811058</v>
      </c>
    </row>
    <row r="394" spans="1:5" ht="12.75">
      <c r="A394" s="1">
        <v>0.365</v>
      </c>
      <c r="B394" s="29">
        <f t="shared" si="10"/>
        <v>48.680409285420545</v>
      </c>
      <c r="C394" s="29"/>
      <c r="D394" s="29"/>
      <c r="E394" s="58">
        <f t="shared" si="11"/>
        <v>55049.57105344467</v>
      </c>
    </row>
    <row r="395" spans="1:5" ht="12.75">
      <c r="A395" s="1">
        <v>0.366</v>
      </c>
      <c r="B395" s="29">
        <f t="shared" si="10"/>
        <v>48.68287176686587</v>
      </c>
      <c r="C395" s="29"/>
      <c r="D395" s="29"/>
      <c r="E395" s="58">
        <f t="shared" si="11"/>
        <v>55050.66140521687</v>
      </c>
    </row>
    <row r="396" spans="1:5" ht="12.75">
      <c r="A396" s="1">
        <v>0.367</v>
      </c>
      <c r="B396" s="29">
        <f t="shared" si="10"/>
        <v>48.6853320077739</v>
      </c>
      <c r="C396" s="29"/>
      <c r="D396" s="29"/>
      <c r="E396" s="58">
        <f t="shared" si="11"/>
        <v>55051.751550781155</v>
      </c>
    </row>
    <row r="397" spans="1:5" ht="12.75">
      <c r="A397" s="1">
        <v>0.368</v>
      </c>
      <c r="B397" s="29">
        <f t="shared" si="10"/>
        <v>48.68779002955268</v>
      </c>
      <c r="C397" s="29"/>
      <c r="D397" s="29"/>
      <c r="E397" s="58">
        <f t="shared" si="11"/>
        <v>55052.84149746683</v>
      </c>
    </row>
    <row r="398" spans="1:5" ht="12.75">
      <c r="A398" s="1">
        <v>0.369</v>
      </c>
      <c r="B398" s="29">
        <f t="shared" si="10"/>
        <v>48.69024585348987</v>
      </c>
      <c r="C398" s="29"/>
      <c r="D398" s="29"/>
      <c r="E398" s="58">
        <f t="shared" si="11"/>
        <v>55053.93125257903</v>
      </c>
    </row>
    <row r="399" spans="1:5" ht="12.75">
      <c r="A399" s="1">
        <v>0.37</v>
      </c>
      <c r="B399" s="29">
        <f t="shared" si="10"/>
        <v>48.692699500754266</v>
      </c>
      <c r="C399" s="29"/>
      <c r="D399" s="29"/>
      <c r="E399" s="58">
        <f t="shared" si="11"/>
        <v>55055.02082339914</v>
      </c>
    </row>
    <row r="400" spans="1:5" ht="12.75">
      <c r="A400" s="1">
        <v>0.371</v>
      </c>
      <c r="B400" s="29">
        <f t="shared" si="10"/>
        <v>48.69515099239733</v>
      </c>
      <c r="C400" s="29"/>
      <c r="D400" s="29"/>
      <c r="E400" s="58">
        <f t="shared" si="11"/>
        <v>55056.1102171852</v>
      </c>
    </row>
    <row r="401" spans="1:5" ht="12.75">
      <c r="A401" s="1">
        <v>0.372</v>
      </c>
      <c r="B401" s="29">
        <f t="shared" si="10"/>
        <v>48.69760034935469</v>
      </c>
      <c r="C401" s="29"/>
      <c r="D401" s="29"/>
      <c r="E401" s="58">
        <f t="shared" si="11"/>
        <v>55057.19944117238</v>
      </c>
    </row>
    <row r="402" spans="1:5" ht="12.75">
      <c r="A402" s="1">
        <v>0.373</v>
      </c>
      <c r="B402" s="29">
        <f t="shared" si="10"/>
        <v>48.70004759244759</v>
      </c>
      <c r="C402" s="29"/>
      <c r="D402" s="29"/>
      <c r="E402" s="58">
        <f t="shared" si="11"/>
        <v>55058.28850257327</v>
      </c>
    </row>
    <row r="403" spans="1:5" ht="12.75">
      <c r="A403" s="1">
        <v>0.374</v>
      </c>
      <c r="B403" s="29">
        <f t="shared" si="10"/>
        <v>48.70249274238441</v>
      </c>
      <c r="C403" s="29"/>
      <c r="D403" s="29"/>
      <c r="E403" s="58">
        <f t="shared" si="11"/>
        <v>55059.37740857845</v>
      </c>
    </row>
    <row r="404" spans="1:5" ht="12.75">
      <c r="A404" s="1">
        <v>0.375</v>
      </c>
      <c r="B404" s="29">
        <f t="shared" si="10"/>
        <v>48.70493581976206</v>
      </c>
      <c r="C404" s="29"/>
      <c r="D404" s="29"/>
      <c r="E404" s="58">
        <f t="shared" si="11"/>
        <v>55060.46616635682</v>
      </c>
    </row>
    <row r="405" spans="1:5" ht="12.75">
      <c r="A405" s="1">
        <v>0.376</v>
      </c>
      <c r="B405" s="29">
        <f t="shared" si="10"/>
        <v>48.70737684506748</v>
      </c>
      <c r="C405" s="29"/>
      <c r="D405" s="29"/>
      <c r="E405" s="58">
        <f t="shared" si="11"/>
        <v>55061.554783055966</v>
      </c>
    </row>
    <row r="406" spans="1:5" ht="12.75">
      <c r="A406" s="1">
        <v>0.377</v>
      </c>
      <c r="B406" s="29">
        <f t="shared" si="10"/>
        <v>48.709815838678956</v>
      </c>
      <c r="C406" s="29"/>
      <c r="D406" s="29"/>
      <c r="E406" s="58">
        <f t="shared" si="11"/>
        <v>55062.643265802646</v>
      </c>
    </row>
    <row r="407" spans="1:5" ht="12.75">
      <c r="A407" s="1">
        <v>0.378</v>
      </c>
      <c r="B407" s="29">
        <f t="shared" si="10"/>
        <v>48.71225282086763</v>
      </c>
      <c r="C407" s="29"/>
      <c r="D407" s="29"/>
      <c r="E407" s="58">
        <f t="shared" si="11"/>
        <v>55063.731621703126</v>
      </c>
    </row>
    <row r="408" spans="1:5" ht="12.75">
      <c r="A408" s="1">
        <v>0.379</v>
      </c>
      <c r="B408" s="29">
        <f t="shared" si="10"/>
        <v>48.714687811798804</v>
      </c>
      <c r="C408" s="29"/>
      <c r="D408" s="29"/>
      <c r="E408" s="58">
        <f t="shared" si="11"/>
        <v>55064.81985784363</v>
      </c>
    </row>
    <row r="409" spans="1:5" ht="12.75">
      <c r="A409" s="1">
        <v>0.38</v>
      </c>
      <c r="B409" s="29">
        <f t="shared" si="10"/>
        <v>48.71712083153334</v>
      </c>
      <c r="C409" s="29"/>
      <c r="D409" s="29"/>
      <c r="E409" s="58">
        <f t="shared" si="11"/>
        <v>55065.90798129066</v>
      </c>
    </row>
    <row r="410" spans="1:5" ht="12.75">
      <c r="A410" s="1">
        <v>0.381</v>
      </c>
      <c r="B410" s="29">
        <f t="shared" si="10"/>
        <v>48.71955190002902</v>
      </c>
      <c r="C410" s="29"/>
      <c r="D410" s="29"/>
      <c r="E410" s="58">
        <f t="shared" si="11"/>
        <v>55066.995999091436</v>
      </c>
    </row>
    <row r="411" spans="1:5" ht="12.75">
      <c r="A411" s="1">
        <v>0.382</v>
      </c>
      <c r="B411" s="29">
        <f t="shared" si="10"/>
        <v>48.72198103714185</v>
      </c>
      <c r="C411" s="29"/>
      <c r="D411" s="29"/>
      <c r="E411" s="58">
        <f t="shared" si="11"/>
        <v>55068.08391827427</v>
      </c>
    </row>
    <row r="412" spans="1:5" ht="12.75">
      <c r="A412" s="1">
        <v>0.383</v>
      </c>
      <c r="B412" s="29">
        <f t="shared" si="10"/>
        <v>48.724408262627435</v>
      </c>
      <c r="C412" s="29"/>
      <c r="D412" s="29"/>
      <c r="E412" s="58">
        <f t="shared" si="11"/>
        <v>55069.171745848966</v>
      </c>
    </row>
    <row r="413" spans="1:5" ht="12.75">
      <c r="A413" s="1">
        <v>0.384</v>
      </c>
      <c r="B413" s="29">
        <f t="shared" si="10"/>
        <v>48.72683359614225</v>
      </c>
      <c r="C413" s="29"/>
      <c r="D413" s="29"/>
      <c r="E413" s="58">
        <f t="shared" si="11"/>
        <v>55070.259488807154</v>
      </c>
    </row>
    <row r="414" spans="1:5" ht="12.75">
      <c r="A414" s="1">
        <v>0.385</v>
      </c>
      <c r="B414" s="29">
        <f t="shared" si="10"/>
        <v>48.72925705724494</v>
      </c>
      <c r="C414" s="29"/>
      <c r="D414" s="29"/>
      <c r="E414" s="58">
        <f t="shared" si="11"/>
        <v>55071.347154122675</v>
      </c>
    </row>
    <row r="415" spans="1:5" ht="12.75">
      <c r="A415" s="1">
        <v>0.386</v>
      </c>
      <c r="B415" s="29">
        <f aca="true" t="shared" si="12" ref="B415:B478">$C$6+NORMSINV($A415)*$C$11*$C$6</f>
        <v>48.731678665397624</v>
      </c>
      <c r="C415" s="29"/>
      <c r="D415" s="29"/>
      <c r="E415" s="58">
        <f aca="true" t="shared" si="13" ref="E415:E478">EPortfolio($C$5+1/252,$B415,$C$7,$C$8,$C$9,,$C$10,$H$7:$L$10,0)</f>
        <v>55072.43474875203</v>
      </c>
    </row>
    <row r="416" spans="1:5" ht="12.75">
      <c r="A416" s="1">
        <v>0.387</v>
      </c>
      <c r="B416" s="29">
        <f t="shared" si="12"/>
        <v>48.73409843996711</v>
      </c>
      <c r="C416" s="29"/>
      <c r="D416" s="29"/>
      <c r="E416" s="58">
        <f t="shared" si="13"/>
        <v>55073.52227963462</v>
      </c>
    </row>
    <row r="417" spans="1:5" ht="12.75">
      <c r="A417" s="1">
        <v>0.388</v>
      </c>
      <c r="B417" s="29">
        <f t="shared" si="12"/>
        <v>48.73651640022623</v>
      </c>
      <c r="C417" s="29"/>
      <c r="D417" s="29"/>
      <c r="E417" s="58">
        <f t="shared" si="13"/>
        <v>55074.609753693214</v>
      </c>
    </row>
    <row r="418" spans="1:5" ht="12.75">
      <c r="A418" s="1">
        <v>0.389</v>
      </c>
      <c r="B418" s="29">
        <f t="shared" si="12"/>
        <v>48.73893256535499</v>
      </c>
      <c r="C418" s="29"/>
      <c r="D418" s="29"/>
      <c r="E418" s="58">
        <f t="shared" si="13"/>
        <v>55075.69717783429</v>
      </c>
    </row>
    <row r="419" spans="1:5" ht="12.75">
      <c r="A419" s="1">
        <v>0.39</v>
      </c>
      <c r="B419" s="29">
        <f t="shared" si="12"/>
        <v>48.74134695444187</v>
      </c>
      <c r="C419" s="29"/>
      <c r="D419" s="29"/>
      <c r="E419" s="58">
        <f t="shared" si="13"/>
        <v>55076.78455894836</v>
      </c>
    </row>
    <row r="420" spans="1:5" ht="12.75">
      <c r="A420" s="1">
        <v>0.391</v>
      </c>
      <c r="B420" s="29">
        <f t="shared" si="12"/>
        <v>48.743759586485005</v>
      </c>
      <c r="C420" s="29"/>
      <c r="D420" s="29"/>
      <c r="E420" s="58">
        <f t="shared" si="13"/>
        <v>55077.871903910396</v>
      </c>
    </row>
    <row r="421" spans="1:5" ht="12.75">
      <c r="A421" s="1">
        <v>0.392</v>
      </c>
      <c r="B421" s="29">
        <f t="shared" si="12"/>
        <v>48.74617048039338</v>
      </c>
      <c r="C421" s="29"/>
      <c r="D421" s="29"/>
      <c r="E421" s="58">
        <f t="shared" si="13"/>
        <v>55078.959219580094</v>
      </c>
    </row>
    <row r="422" spans="1:5" ht="12.75">
      <c r="A422" s="1">
        <v>0.393</v>
      </c>
      <c r="B422" s="29">
        <f t="shared" si="12"/>
        <v>48.74857965498804</v>
      </c>
      <c r="C422" s="29"/>
      <c r="D422" s="29"/>
      <c r="E422" s="58">
        <f t="shared" si="13"/>
        <v>55080.04651280232</v>
      </c>
    </row>
    <row r="423" spans="1:5" ht="12.75">
      <c r="A423" s="1">
        <v>0.394</v>
      </c>
      <c r="B423" s="29">
        <f t="shared" si="12"/>
        <v>48.750987129003256</v>
      </c>
      <c r="C423" s="29"/>
      <c r="D423" s="29"/>
      <c r="E423" s="58">
        <f t="shared" si="13"/>
        <v>55081.133790407395</v>
      </c>
    </row>
    <row r="424" spans="1:5" ht="12.75">
      <c r="A424" s="1">
        <v>0.395</v>
      </c>
      <c r="B424" s="29">
        <f t="shared" si="12"/>
        <v>48.753392921087695</v>
      </c>
      <c r="C424" s="29"/>
      <c r="D424" s="29"/>
      <c r="E424" s="58">
        <f t="shared" si="13"/>
        <v>55082.22105921151</v>
      </c>
    </row>
    <row r="425" spans="1:5" ht="12.75">
      <c r="A425" s="1">
        <v>0.396</v>
      </c>
      <c r="B425" s="29">
        <f t="shared" si="12"/>
        <v>48.75579704980557</v>
      </c>
      <c r="C425" s="29"/>
      <c r="D425" s="29"/>
      <c r="E425" s="58">
        <f t="shared" si="13"/>
        <v>55083.30832601697</v>
      </c>
    </row>
    <row r="426" spans="1:5" ht="12.75">
      <c r="A426" s="1">
        <v>0.397</v>
      </c>
      <c r="B426" s="29">
        <f t="shared" si="12"/>
        <v>48.75819953363778</v>
      </c>
      <c r="C426" s="29"/>
      <c r="D426" s="29"/>
      <c r="E426" s="58">
        <f t="shared" si="13"/>
        <v>55084.39559761267</v>
      </c>
    </row>
    <row r="427" spans="1:5" ht="12.75">
      <c r="A427" s="1">
        <v>0.398</v>
      </c>
      <c r="B427" s="29">
        <f t="shared" si="12"/>
        <v>48.76060039098304</v>
      </c>
      <c r="C427" s="29"/>
      <c r="D427" s="29"/>
      <c r="E427" s="58">
        <f t="shared" si="13"/>
        <v>55085.48288077428</v>
      </c>
    </row>
    <row r="428" spans="1:5" ht="12.75">
      <c r="A428" s="1">
        <v>0.399</v>
      </c>
      <c r="B428" s="29">
        <f t="shared" si="12"/>
        <v>48.76299964015902</v>
      </c>
      <c r="C428" s="29"/>
      <c r="D428" s="29"/>
      <c r="E428" s="58">
        <f t="shared" si="13"/>
        <v>55086.57018226473</v>
      </c>
    </row>
    <row r="429" spans="1:5" ht="12.75">
      <c r="A429" s="1">
        <v>0.4</v>
      </c>
      <c r="B429" s="29">
        <f t="shared" si="12"/>
        <v>48.76539729940342</v>
      </c>
      <c r="C429" s="29"/>
      <c r="D429" s="29"/>
      <c r="E429" s="58">
        <f t="shared" si="13"/>
        <v>55087.65750883449</v>
      </c>
    </row>
    <row r="430" spans="1:5" ht="12.75">
      <c r="A430" s="1">
        <v>0.401</v>
      </c>
      <c r="B430" s="29">
        <f t="shared" si="12"/>
        <v>48.76779338687507</v>
      </c>
      <c r="C430" s="29"/>
      <c r="D430" s="29"/>
      <c r="E430" s="58">
        <f t="shared" si="13"/>
        <v>55088.74486722185</v>
      </c>
    </row>
    <row r="431" spans="1:5" ht="12.75">
      <c r="A431" s="1">
        <v>0.402</v>
      </c>
      <c r="B431" s="29">
        <f t="shared" si="12"/>
        <v>48.770187920655076</v>
      </c>
      <c r="C431" s="29"/>
      <c r="D431" s="29"/>
      <c r="E431" s="58">
        <f t="shared" si="13"/>
        <v>55089.83226415338</v>
      </c>
    </row>
    <row r="432" spans="1:5" ht="12.75">
      <c r="A432" s="1">
        <v>0.403</v>
      </c>
      <c r="B432" s="29">
        <f t="shared" si="12"/>
        <v>48.772580918747806</v>
      </c>
      <c r="C432" s="29"/>
      <c r="D432" s="29"/>
      <c r="E432" s="58">
        <f t="shared" si="13"/>
        <v>55090.91970634411</v>
      </c>
    </row>
    <row r="433" spans="1:5" ht="12.75">
      <c r="A433" s="1">
        <v>0.404</v>
      </c>
      <c r="B433" s="29">
        <f t="shared" si="12"/>
        <v>48.774972399082024</v>
      </c>
      <c r="C433" s="29"/>
      <c r="D433" s="29"/>
      <c r="E433" s="58">
        <f t="shared" si="13"/>
        <v>55092.00720049797</v>
      </c>
    </row>
    <row r="434" spans="1:5" ht="12.75">
      <c r="A434" s="1">
        <v>0.405</v>
      </c>
      <c r="B434" s="29">
        <f t="shared" si="12"/>
        <v>48.777362379511914</v>
      </c>
      <c r="C434" s="29"/>
      <c r="D434" s="29"/>
      <c r="E434" s="58">
        <f t="shared" si="13"/>
        <v>55093.09475330806</v>
      </c>
    </row>
    <row r="435" spans="1:5" ht="12.75">
      <c r="A435" s="1">
        <v>0.406</v>
      </c>
      <c r="B435" s="29">
        <f t="shared" si="12"/>
        <v>48.77975087781814</v>
      </c>
      <c r="C435" s="29"/>
      <c r="D435" s="29"/>
      <c r="E435" s="58">
        <f t="shared" si="13"/>
        <v>55094.18237145703</v>
      </c>
    </row>
    <row r="436" spans="1:5" ht="12.75">
      <c r="A436" s="1">
        <v>0.40700000000000003</v>
      </c>
      <c r="B436" s="29">
        <f t="shared" si="12"/>
        <v>48.782137911708865</v>
      </c>
      <c r="C436" s="29"/>
      <c r="D436" s="29"/>
      <c r="E436" s="58">
        <f t="shared" si="13"/>
        <v>55095.27006161732</v>
      </c>
    </row>
    <row r="437" spans="1:5" ht="12.75">
      <c r="A437" s="1">
        <v>0.40800000000000003</v>
      </c>
      <c r="B437" s="29">
        <f t="shared" si="12"/>
        <v>48.78452349882081</v>
      </c>
      <c r="C437" s="29"/>
      <c r="D437" s="29"/>
      <c r="E437" s="58">
        <f t="shared" si="13"/>
        <v>55096.35783045157</v>
      </c>
    </row>
    <row r="438" spans="1:5" ht="12.75">
      <c r="A438" s="1">
        <v>0.40900000000000003</v>
      </c>
      <c r="B438" s="29">
        <f t="shared" si="12"/>
        <v>48.786907656720224</v>
      </c>
      <c r="C438" s="29"/>
      <c r="D438" s="29"/>
      <c r="E438" s="58">
        <f t="shared" si="13"/>
        <v>55097.445684612845</v>
      </c>
    </row>
    <row r="439" spans="1:5" ht="12.75">
      <c r="A439" s="1">
        <v>0.41</v>
      </c>
      <c r="B439" s="29">
        <f t="shared" si="12"/>
        <v>48.78929040290393</v>
      </c>
      <c r="C439" s="29"/>
      <c r="D439" s="29"/>
      <c r="E439" s="58">
        <f t="shared" si="13"/>
        <v>55098.533630745085</v>
      </c>
    </row>
    <row r="440" spans="1:5" ht="12.75">
      <c r="A440" s="1">
        <v>0.41100000000000003</v>
      </c>
      <c r="B440" s="29">
        <f t="shared" si="12"/>
        <v>48.79167175480032</v>
      </c>
      <c r="C440" s="29"/>
      <c r="D440" s="29"/>
      <c r="E440" s="58">
        <f t="shared" si="13"/>
        <v>55099.62167548325</v>
      </c>
    </row>
    <row r="441" spans="1:5" ht="12.75">
      <c r="A441" s="1">
        <v>0.41200000000000003</v>
      </c>
      <c r="B441" s="29">
        <f t="shared" si="12"/>
        <v>48.794051729770324</v>
      </c>
      <c r="C441" s="29"/>
      <c r="D441" s="29"/>
      <c r="E441" s="58">
        <f t="shared" si="13"/>
        <v>55100.7098254538</v>
      </c>
    </row>
    <row r="442" spans="1:5" ht="12.75">
      <c r="A442" s="1">
        <v>0.41300000000000003</v>
      </c>
      <c r="B442" s="29">
        <f t="shared" si="12"/>
        <v>48.7964303451084</v>
      </c>
      <c r="C442" s="29"/>
      <c r="D442" s="29"/>
      <c r="E442" s="58">
        <f t="shared" si="13"/>
        <v>55101.79808727485</v>
      </c>
    </row>
    <row r="443" spans="1:5" ht="12.75">
      <c r="A443" s="1">
        <v>0.41400000000000003</v>
      </c>
      <c r="B443" s="29">
        <f t="shared" si="12"/>
        <v>48.79880761804352</v>
      </c>
      <c r="C443" s="29"/>
      <c r="D443" s="29"/>
      <c r="E443" s="58">
        <f t="shared" si="13"/>
        <v>55102.886467556644</v>
      </c>
    </row>
    <row r="444" spans="1:5" ht="12.75">
      <c r="A444" s="1">
        <v>0.415</v>
      </c>
      <c r="B444" s="29">
        <f t="shared" si="12"/>
        <v>48.80118356574012</v>
      </c>
      <c r="C444" s="29"/>
      <c r="D444" s="29"/>
      <c r="E444" s="58">
        <f t="shared" si="13"/>
        <v>55103.974972901735</v>
      </c>
    </row>
    <row r="445" spans="1:5" ht="12.75">
      <c r="A445" s="1">
        <v>0.41600000000000004</v>
      </c>
      <c r="B445" s="29">
        <f t="shared" si="12"/>
        <v>48.80355820529905</v>
      </c>
      <c r="C445" s="29"/>
      <c r="D445" s="29"/>
      <c r="E445" s="58">
        <f t="shared" si="13"/>
        <v>55105.06360990536</v>
      </c>
    </row>
    <row r="446" spans="1:5" ht="12.75">
      <c r="A446" s="1">
        <v>0.41700000000000004</v>
      </c>
      <c r="B446" s="29">
        <f t="shared" si="12"/>
        <v>48.805931553758526</v>
      </c>
      <c r="C446" s="29"/>
      <c r="D446" s="29"/>
      <c r="E446" s="58">
        <f t="shared" si="13"/>
        <v>55106.1523851557</v>
      </c>
    </row>
    <row r="447" spans="1:5" ht="12.75">
      <c r="A447" s="1">
        <v>0.418</v>
      </c>
      <c r="B447" s="29">
        <f t="shared" si="12"/>
        <v>48.8083036280951</v>
      </c>
      <c r="C447" s="29"/>
      <c r="D447" s="29"/>
      <c r="E447" s="58">
        <f t="shared" si="13"/>
        <v>55107.24130523425</v>
      </c>
    </row>
    <row r="448" spans="1:5" ht="12.75">
      <c r="A448" s="1">
        <v>0.419</v>
      </c>
      <c r="B448" s="29">
        <f t="shared" si="12"/>
        <v>48.810674445224535</v>
      </c>
      <c r="C448" s="29"/>
      <c r="D448" s="29"/>
      <c r="E448" s="58">
        <f t="shared" si="13"/>
        <v>55108.33037671606</v>
      </c>
    </row>
    <row r="449" spans="1:5" ht="12.75">
      <c r="A449" s="1">
        <v>0.42</v>
      </c>
      <c r="B449" s="29">
        <f t="shared" si="12"/>
        <v>48.81304402200277</v>
      </c>
      <c r="C449" s="29"/>
      <c r="D449" s="29"/>
      <c r="E449" s="58">
        <f t="shared" si="13"/>
        <v>55109.419606170064</v>
      </c>
    </row>
    <row r="450" spans="1:5" ht="12.75">
      <c r="A450" s="1">
        <v>0.421</v>
      </c>
      <c r="B450" s="29">
        <f t="shared" si="12"/>
        <v>48.81541237522681</v>
      </c>
      <c r="C450" s="29"/>
      <c r="D450" s="29"/>
      <c r="E450" s="58">
        <f t="shared" si="13"/>
        <v>55110.50900015936</v>
      </c>
    </row>
    <row r="451" spans="1:5" ht="12.75">
      <c r="A451" s="1">
        <v>0.422</v>
      </c>
      <c r="B451" s="29">
        <f t="shared" si="12"/>
        <v>48.81777952163567</v>
      </c>
      <c r="C451" s="29"/>
      <c r="D451" s="29"/>
      <c r="E451" s="58">
        <f t="shared" si="13"/>
        <v>55111.59856524158</v>
      </c>
    </row>
    <row r="452" spans="1:5" ht="12.75">
      <c r="A452" s="1">
        <v>0.423</v>
      </c>
      <c r="B452" s="29">
        <f t="shared" si="12"/>
        <v>48.820145477911225</v>
      </c>
      <c r="C452" s="29"/>
      <c r="D452" s="29"/>
      <c r="E452" s="58">
        <f t="shared" si="13"/>
        <v>55112.688307969074</v>
      </c>
    </row>
    <row r="453" spans="1:5" ht="12.75">
      <c r="A453" s="1">
        <v>0.424</v>
      </c>
      <c r="B453" s="29">
        <f t="shared" si="12"/>
        <v>48.82251026067916</v>
      </c>
      <c r="C453" s="29"/>
      <c r="D453" s="29"/>
      <c r="E453" s="58">
        <f t="shared" si="13"/>
        <v>55113.77823488932</v>
      </c>
    </row>
    <row r="454" spans="1:5" ht="12.75">
      <c r="A454" s="1">
        <v>0.425</v>
      </c>
      <c r="B454" s="29">
        <f t="shared" si="12"/>
        <v>48.8248738865098</v>
      </c>
      <c r="C454" s="29"/>
      <c r="D454" s="29"/>
      <c r="E454" s="58">
        <f t="shared" si="13"/>
        <v>55114.868352545134</v>
      </c>
    </row>
    <row r="455" spans="1:5" ht="12.75">
      <c r="A455" s="1">
        <v>0.426</v>
      </c>
      <c r="B455" s="29">
        <f t="shared" si="12"/>
        <v>48.82723637191904</v>
      </c>
      <c r="C455" s="29"/>
      <c r="D455" s="29"/>
      <c r="E455" s="58">
        <f t="shared" si="13"/>
        <v>55115.958667475024</v>
      </c>
    </row>
    <row r="456" spans="1:5" ht="12.75">
      <c r="A456" s="1">
        <v>0.427</v>
      </c>
      <c r="B456" s="29">
        <f t="shared" si="12"/>
        <v>48.82959773336919</v>
      </c>
      <c r="C456" s="29"/>
      <c r="D456" s="29"/>
      <c r="E456" s="58">
        <f t="shared" si="13"/>
        <v>55117.049186213444</v>
      </c>
    </row>
    <row r="457" spans="1:5" ht="12.75">
      <c r="A457" s="1">
        <v>0.428</v>
      </c>
      <c r="B457" s="29">
        <f t="shared" si="12"/>
        <v>48.83195798726983</v>
      </c>
      <c r="C457" s="29"/>
      <c r="D457" s="29"/>
      <c r="E457" s="58">
        <f t="shared" si="13"/>
        <v>55118.13991529112</v>
      </c>
    </row>
    <row r="458" spans="1:5" ht="12.75">
      <c r="A458" s="1">
        <v>0.429</v>
      </c>
      <c r="B458" s="29">
        <f t="shared" si="12"/>
        <v>48.83431714997872</v>
      </c>
      <c r="C458" s="29"/>
      <c r="D458" s="29"/>
      <c r="E458" s="58">
        <f t="shared" si="13"/>
        <v>55119.23086123531</v>
      </c>
    </row>
    <row r="459" spans="1:5" ht="12.75">
      <c r="A459" s="1">
        <v>0.43</v>
      </c>
      <c r="B459" s="29">
        <f t="shared" si="12"/>
        <v>48.83667523780259</v>
      </c>
      <c r="C459" s="29"/>
      <c r="D459" s="29"/>
      <c r="E459" s="58">
        <f t="shared" si="13"/>
        <v>55120.32203057011</v>
      </c>
    </row>
    <row r="460" spans="1:5" ht="12.75">
      <c r="A460" s="1">
        <v>0.431</v>
      </c>
      <c r="B460" s="29">
        <f t="shared" si="12"/>
        <v>48.839032266998025</v>
      </c>
      <c r="C460" s="29"/>
      <c r="D460" s="29"/>
      <c r="E460" s="58">
        <f t="shared" si="13"/>
        <v>55121.413429816785</v>
      </c>
    </row>
    <row r="461" spans="1:5" ht="12.75">
      <c r="A461" s="1">
        <v>0.432</v>
      </c>
      <c r="B461" s="29">
        <f t="shared" si="12"/>
        <v>48.841388253772294</v>
      </c>
      <c r="C461" s="29"/>
      <c r="D461" s="29"/>
      <c r="E461" s="58">
        <f t="shared" si="13"/>
        <v>55122.505065493955</v>
      </c>
    </row>
    <row r="462" spans="1:5" ht="12.75">
      <c r="A462" s="1">
        <v>0.433</v>
      </c>
      <c r="B462" s="29">
        <f t="shared" si="12"/>
        <v>48.8437432142842</v>
      </c>
      <c r="C462" s="29"/>
      <c r="D462" s="29"/>
      <c r="E462" s="58">
        <f t="shared" si="13"/>
        <v>55123.59694411797</v>
      </c>
    </row>
    <row r="463" spans="1:5" ht="12.75">
      <c r="A463" s="1">
        <v>0.434</v>
      </c>
      <c r="B463" s="29">
        <f t="shared" si="12"/>
        <v>48.846097164644874</v>
      </c>
      <c r="C463" s="29"/>
      <c r="D463" s="29"/>
      <c r="E463" s="58">
        <f t="shared" si="13"/>
        <v>55124.68789798433</v>
      </c>
    </row>
    <row r="464" spans="1:5" ht="12.75">
      <c r="A464" s="1">
        <v>0.435</v>
      </c>
      <c r="B464" s="29">
        <f t="shared" si="12"/>
        <v>48.848450120918635</v>
      </c>
      <c r="C464" s="29"/>
      <c r="D464" s="29"/>
      <c r="E464" s="58">
        <f t="shared" si="13"/>
        <v>55125.78028168139</v>
      </c>
    </row>
    <row r="465" spans="1:5" ht="12.75">
      <c r="A465" s="1">
        <v>0.436</v>
      </c>
      <c r="B465" s="29">
        <f t="shared" si="12"/>
        <v>48.85080209912379</v>
      </c>
      <c r="C465" s="29"/>
      <c r="D465" s="29"/>
      <c r="E465" s="58">
        <f t="shared" si="13"/>
        <v>55126.872927560915</v>
      </c>
    </row>
    <row r="466" spans="1:5" ht="12.75">
      <c r="A466" s="1">
        <v>0.437</v>
      </c>
      <c r="B466" s="29">
        <f t="shared" si="12"/>
        <v>48.853153115233425</v>
      </c>
      <c r="C466" s="29"/>
      <c r="D466" s="29"/>
      <c r="E466" s="58">
        <f t="shared" si="13"/>
        <v>55127.96584213334</v>
      </c>
    </row>
    <row r="467" spans="1:5" ht="12.75">
      <c r="A467" s="1">
        <v>0.438</v>
      </c>
      <c r="B467" s="29">
        <f t="shared" si="12"/>
        <v>48.85550318517626</v>
      </c>
      <c r="C467" s="29"/>
      <c r="D467" s="29"/>
      <c r="E467" s="58">
        <f t="shared" si="13"/>
        <v>55129.05903190816</v>
      </c>
    </row>
    <row r="468" spans="1:5" ht="12.75">
      <c r="A468" s="1">
        <v>0.439</v>
      </c>
      <c r="B468" s="29">
        <f t="shared" si="12"/>
        <v>48.857852324837395</v>
      </c>
      <c r="C468" s="29"/>
      <c r="D468" s="29"/>
      <c r="E468" s="58">
        <f t="shared" si="13"/>
        <v>55130.152503394354</v>
      </c>
    </row>
    <row r="469" spans="1:5" ht="12.75">
      <c r="A469" s="1">
        <v>0.44</v>
      </c>
      <c r="B469" s="29">
        <f t="shared" si="12"/>
        <v>48.860200550059155</v>
      </c>
      <c r="C469" s="29"/>
      <c r="D469" s="29"/>
      <c r="E469" s="58">
        <f t="shared" si="13"/>
        <v>55131.24626310056</v>
      </c>
    </row>
    <row r="470" spans="1:5" ht="12.75">
      <c r="A470" s="1">
        <v>0.441</v>
      </c>
      <c r="B470" s="29">
        <f t="shared" si="12"/>
        <v>48.86254787664183</v>
      </c>
      <c r="C470" s="29"/>
      <c r="D470" s="29"/>
      <c r="E470" s="58">
        <f t="shared" si="13"/>
        <v>55132.340317535374</v>
      </c>
    </row>
    <row r="471" spans="1:5" ht="12.75">
      <c r="A471" s="1">
        <v>0.442</v>
      </c>
      <c r="B471" s="29">
        <f t="shared" si="12"/>
        <v>48.86489432034449</v>
      </c>
      <c r="C471" s="29"/>
      <c r="D471" s="29"/>
      <c r="E471" s="58">
        <f t="shared" si="13"/>
        <v>55133.43467320768</v>
      </c>
    </row>
    <row r="472" spans="1:5" ht="12.75">
      <c r="A472" s="1">
        <v>0.443</v>
      </c>
      <c r="B472" s="29">
        <f t="shared" si="12"/>
        <v>48.86723989688578</v>
      </c>
      <c r="C472" s="29"/>
      <c r="D472" s="29"/>
      <c r="E472" s="58">
        <f t="shared" si="13"/>
        <v>55134.52933662689</v>
      </c>
    </row>
    <row r="473" spans="1:5" ht="12.75">
      <c r="A473" s="1">
        <v>0.444</v>
      </c>
      <c r="B473" s="29">
        <f t="shared" si="12"/>
        <v>48.86958462194464</v>
      </c>
      <c r="C473" s="29"/>
      <c r="D473" s="29"/>
      <c r="E473" s="58">
        <f t="shared" si="13"/>
        <v>55135.62431430321</v>
      </c>
    </row>
    <row r="474" spans="1:5" ht="12.75">
      <c r="A474" s="1">
        <v>0.445</v>
      </c>
      <c r="B474" s="29">
        <f t="shared" si="12"/>
        <v>48.87192851116113</v>
      </c>
      <c r="C474" s="29"/>
      <c r="D474" s="29"/>
      <c r="E474" s="58">
        <f t="shared" si="13"/>
        <v>55136.71961274799</v>
      </c>
    </row>
    <row r="475" spans="1:5" ht="12.75">
      <c r="A475" s="1">
        <v>0.446</v>
      </c>
      <c r="B475" s="29">
        <f t="shared" si="12"/>
        <v>48.87427158013717</v>
      </c>
      <c r="C475" s="29"/>
      <c r="D475" s="29"/>
      <c r="E475" s="58">
        <f t="shared" si="13"/>
        <v>55137.81523847395</v>
      </c>
    </row>
    <row r="476" spans="1:5" ht="12.75">
      <c r="A476" s="1">
        <v>0.447</v>
      </c>
      <c r="B476" s="29">
        <f t="shared" si="12"/>
        <v>48.876613844437294</v>
      </c>
      <c r="C476" s="29"/>
      <c r="D476" s="29"/>
      <c r="E476" s="58">
        <f t="shared" si="13"/>
        <v>55138.91119799544</v>
      </c>
    </row>
    <row r="477" spans="1:5" ht="12.75">
      <c r="A477" s="1">
        <v>0.448</v>
      </c>
      <c r="B477" s="29">
        <f t="shared" si="12"/>
        <v>48.87895531958943</v>
      </c>
      <c r="C477" s="29"/>
      <c r="D477" s="29"/>
      <c r="E477" s="58">
        <f t="shared" si="13"/>
        <v>55140.007497828796</v>
      </c>
    </row>
    <row r="478" spans="1:5" ht="12.75">
      <c r="A478" s="1">
        <v>0.449</v>
      </c>
      <c r="B478" s="29">
        <f t="shared" si="12"/>
        <v>48.881296021085625</v>
      </c>
      <c r="C478" s="29"/>
      <c r="D478" s="29"/>
      <c r="E478" s="58">
        <f t="shared" si="13"/>
        <v>55141.10414449255</v>
      </c>
    </row>
    <row r="479" spans="1:5" ht="12.75">
      <c r="A479" s="1">
        <v>0.45</v>
      </c>
      <c r="B479" s="29">
        <f aca="true" t="shared" si="14" ref="B479:B542">$C$6+NORMSINV($A479)*$C$11*$C$6</f>
        <v>48.88363596438282</v>
      </c>
      <c r="C479" s="29"/>
      <c r="D479" s="29"/>
      <c r="E479" s="58">
        <f aca="true" t="shared" si="15" ref="E479:E542">EPortfolio($C$5+1/252,$B479,$C$7,$C$8,$C$9,,$C$10,$H$7:$L$10,0)</f>
        <v>55142.201144507744</v>
      </c>
    </row>
    <row r="480" spans="1:5" ht="12.75">
      <c r="A480" s="1">
        <v>0.451</v>
      </c>
      <c r="B480" s="29">
        <f t="shared" si="14"/>
        <v>48.885975164903556</v>
      </c>
      <c r="C480" s="29"/>
      <c r="D480" s="29"/>
      <c r="E480" s="58">
        <f t="shared" si="15"/>
        <v>55143.29850439819</v>
      </c>
    </row>
    <row r="481" spans="1:5" ht="12.75">
      <c r="A481" s="1">
        <v>0.452</v>
      </c>
      <c r="B481" s="29">
        <f t="shared" si="14"/>
        <v>48.88831363803675</v>
      </c>
      <c r="C481" s="29"/>
      <c r="D481" s="29"/>
      <c r="E481" s="58">
        <f t="shared" si="15"/>
        <v>55144.396230690756</v>
      </c>
    </row>
    <row r="482" spans="1:5" ht="12.75">
      <c r="A482" s="1">
        <v>0.453</v>
      </c>
      <c r="B482" s="29">
        <f t="shared" si="14"/>
        <v>48.89065139913842</v>
      </c>
      <c r="C482" s="29"/>
      <c r="D482" s="29"/>
      <c r="E482" s="58">
        <f t="shared" si="15"/>
        <v>55145.49432991566</v>
      </c>
    </row>
    <row r="483" spans="1:5" ht="12.75">
      <c r="A483" s="1">
        <v>0.454</v>
      </c>
      <c r="B483" s="29">
        <f t="shared" si="14"/>
        <v>48.8929884635324</v>
      </c>
      <c r="C483" s="29"/>
      <c r="D483" s="29"/>
      <c r="E483" s="58">
        <f t="shared" si="15"/>
        <v>55146.59280860672</v>
      </c>
    </row>
    <row r="484" spans="1:5" ht="12.75">
      <c r="A484" s="1">
        <v>0.455</v>
      </c>
      <c r="B484" s="29">
        <f t="shared" si="14"/>
        <v>48.89532484651109</v>
      </c>
      <c r="C484" s="29"/>
      <c r="D484" s="29"/>
      <c r="E484" s="58">
        <f t="shared" si="15"/>
        <v>55147.69167330167</v>
      </c>
    </row>
    <row r="485" spans="1:5" ht="12.75">
      <c r="A485" s="1">
        <v>0.456</v>
      </c>
      <c r="B485" s="29">
        <f t="shared" si="14"/>
        <v>48.897660563336146</v>
      </c>
      <c r="C485" s="29"/>
      <c r="D485" s="29"/>
      <c r="E485" s="58">
        <f t="shared" si="15"/>
        <v>55148.79093054238</v>
      </c>
    </row>
    <row r="486" spans="1:5" ht="12.75">
      <c r="A486" s="1">
        <v>0.457</v>
      </c>
      <c r="B486" s="29">
        <f t="shared" si="14"/>
        <v>48.89999562923926</v>
      </c>
      <c r="C486" s="29"/>
      <c r="D486" s="29"/>
      <c r="E486" s="58">
        <f t="shared" si="15"/>
        <v>55149.89058687521</v>
      </c>
    </row>
    <row r="487" spans="1:5" ht="12.75">
      <c r="A487" s="1">
        <v>0.458</v>
      </c>
      <c r="B487" s="29">
        <f t="shared" si="14"/>
        <v>48.9023300594228</v>
      </c>
      <c r="C487" s="29"/>
      <c r="D487" s="29"/>
      <c r="E487" s="58">
        <f t="shared" si="15"/>
        <v>55150.99064885119</v>
      </c>
    </row>
    <row r="488" spans="1:5" ht="12.75">
      <c r="A488" s="1">
        <v>0.459</v>
      </c>
      <c r="B488" s="29">
        <f t="shared" si="14"/>
        <v>48.90466386906059</v>
      </c>
      <c r="C488" s="29"/>
      <c r="D488" s="29"/>
      <c r="E488" s="58">
        <f t="shared" si="15"/>
        <v>55152.09112302642</v>
      </c>
    </row>
    <row r="489" spans="1:5" ht="12.75">
      <c r="A489" s="1">
        <v>0.46</v>
      </c>
      <c r="B489" s="29">
        <f t="shared" si="14"/>
        <v>48.90699707329859</v>
      </c>
      <c r="C489" s="29"/>
      <c r="D489" s="29"/>
      <c r="E489" s="58">
        <f t="shared" si="15"/>
        <v>55153.192015962246</v>
      </c>
    </row>
    <row r="490" spans="1:5" ht="12.75">
      <c r="A490" s="1">
        <v>0.461</v>
      </c>
      <c r="B490" s="29">
        <f t="shared" si="14"/>
        <v>48.909329687255585</v>
      </c>
      <c r="C490" s="29"/>
      <c r="D490" s="29"/>
      <c r="E490" s="58">
        <f t="shared" si="15"/>
        <v>55154.293334225586</v>
      </c>
    </row>
    <row r="491" spans="1:5" ht="12.75">
      <c r="A491" s="1">
        <v>0.462</v>
      </c>
      <c r="B491" s="29">
        <f t="shared" si="14"/>
        <v>48.91166172602392</v>
      </c>
      <c r="C491" s="29"/>
      <c r="D491" s="29"/>
      <c r="E491" s="58">
        <f t="shared" si="15"/>
        <v>55155.39508438917</v>
      </c>
    </row>
    <row r="492" spans="1:5" ht="12.75">
      <c r="A492" s="1">
        <v>0.463</v>
      </c>
      <c r="B492" s="29">
        <f t="shared" si="14"/>
        <v>48.9139932046702</v>
      </c>
      <c r="C492" s="29"/>
      <c r="D492" s="29"/>
      <c r="E492" s="58">
        <f t="shared" si="15"/>
        <v>55156.4972730319</v>
      </c>
    </row>
    <row r="493" spans="1:5" ht="12.75">
      <c r="A493" s="1">
        <v>0.464</v>
      </c>
      <c r="B493" s="29">
        <f t="shared" si="14"/>
        <v>48.91632413823596</v>
      </c>
      <c r="C493" s="29"/>
      <c r="D493" s="29"/>
      <c r="E493" s="58">
        <f t="shared" si="15"/>
        <v>55157.59990673902</v>
      </c>
    </row>
    <row r="494" spans="1:5" ht="12.75">
      <c r="A494" s="1">
        <v>0.465</v>
      </c>
      <c r="B494" s="29">
        <f t="shared" si="14"/>
        <v>48.91865454173836</v>
      </c>
      <c r="C494" s="29"/>
      <c r="D494" s="29"/>
      <c r="E494" s="58">
        <f t="shared" si="15"/>
        <v>55158.702992102495</v>
      </c>
    </row>
    <row r="495" spans="1:5" ht="12.75">
      <c r="A495" s="1">
        <v>0.466</v>
      </c>
      <c r="B495" s="29">
        <f t="shared" si="14"/>
        <v>48.920984430170925</v>
      </c>
      <c r="C495" s="29"/>
      <c r="D495" s="29"/>
      <c r="E495" s="58">
        <f t="shared" si="15"/>
        <v>55159.806535721196</v>
      </c>
    </row>
    <row r="496" spans="1:5" ht="12.75">
      <c r="A496" s="1">
        <v>0.467</v>
      </c>
      <c r="B496" s="29">
        <f t="shared" si="14"/>
        <v>48.92331381850418</v>
      </c>
      <c r="C496" s="29"/>
      <c r="D496" s="29"/>
      <c r="E496" s="58">
        <f t="shared" si="15"/>
        <v>55160.91054420128</v>
      </c>
    </row>
    <row r="497" spans="1:5" ht="12.75">
      <c r="A497" s="1">
        <v>0.468</v>
      </c>
      <c r="B497" s="29">
        <f t="shared" si="14"/>
        <v>48.92564272168635</v>
      </c>
      <c r="C497" s="29"/>
      <c r="D497" s="29"/>
      <c r="E497" s="58">
        <f t="shared" si="15"/>
        <v>55162.015024156375</v>
      </c>
    </row>
    <row r="498" spans="1:5" ht="12.75">
      <c r="A498" s="1">
        <v>0.46900000000000003</v>
      </c>
      <c r="B498" s="29">
        <f t="shared" si="14"/>
        <v>48.92797115464406</v>
      </c>
      <c r="C498" s="29"/>
      <c r="D498" s="29"/>
      <c r="E498" s="58">
        <f t="shared" si="15"/>
        <v>55163.11998220792</v>
      </c>
    </row>
    <row r="499" spans="1:5" ht="12.75">
      <c r="A499" s="1">
        <v>0.47</v>
      </c>
      <c r="B499" s="29">
        <f t="shared" si="14"/>
        <v>48.930299132283004</v>
      </c>
      <c r="C499" s="29"/>
      <c r="D499" s="29"/>
      <c r="E499" s="58">
        <f t="shared" si="15"/>
        <v>55164.225424985416</v>
      </c>
    </row>
    <row r="500" spans="1:5" ht="12.75">
      <c r="A500" s="1">
        <v>0.47100000000000003</v>
      </c>
      <c r="B500" s="29">
        <f t="shared" si="14"/>
        <v>48.93262666948861</v>
      </c>
      <c r="C500" s="29"/>
      <c r="D500" s="29"/>
      <c r="E500" s="58">
        <f t="shared" si="15"/>
        <v>55165.33135912674</v>
      </c>
    </row>
    <row r="501" spans="1:5" ht="12.75">
      <c r="A501" s="1">
        <v>0.47200000000000003</v>
      </c>
      <c r="B501" s="29">
        <f t="shared" si="14"/>
        <v>48.93495378112675</v>
      </c>
      <c r="C501" s="29"/>
      <c r="D501" s="29"/>
      <c r="E501" s="58">
        <f t="shared" si="15"/>
        <v>55166.43779127838</v>
      </c>
    </row>
    <row r="502" spans="1:5" ht="12.75">
      <c r="A502" s="1">
        <v>0.47300000000000003</v>
      </c>
      <c r="B502" s="29">
        <f t="shared" si="14"/>
        <v>48.93728048204437</v>
      </c>
      <c r="C502" s="29"/>
      <c r="D502" s="29"/>
      <c r="E502" s="58">
        <f t="shared" si="15"/>
        <v>55167.544728095745</v>
      </c>
    </row>
    <row r="503" spans="1:5" ht="12.75">
      <c r="A503" s="1">
        <v>0.47400000000000003</v>
      </c>
      <c r="B503" s="29">
        <f t="shared" si="14"/>
        <v>48.93960678707022</v>
      </c>
      <c r="C503" s="29"/>
      <c r="D503" s="29"/>
      <c r="E503" s="58">
        <f t="shared" si="15"/>
        <v>55168.65217624346</v>
      </c>
    </row>
    <row r="504" spans="1:5" ht="12.75">
      <c r="A504" s="1">
        <v>0.475</v>
      </c>
      <c r="B504" s="29">
        <f t="shared" si="14"/>
        <v>48.94193271101544</v>
      </c>
      <c r="C504" s="29"/>
      <c r="D504" s="29"/>
      <c r="E504" s="58">
        <f t="shared" si="15"/>
        <v>55169.76014239559</v>
      </c>
    </row>
    <row r="505" spans="1:5" ht="12.75">
      <c r="A505" s="1">
        <v>0.47600000000000003</v>
      </c>
      <c r="B505" s="29">
        <f t="shared" si="14"/>
        <v>48.94425826867431</v>
      </c>
      <c r="C505" s="29"/>
      <c r="D505" s="29"/>
      <c r="E505" s="58">
        <f t="shared" si="15"/>
        <v>55170.868633235994</v>
      </c>
    </row>
    <row r="506" spans="1:5" ht="12.75">
      <c r="A506" s="1">
        <v>0.47700000000000004</v>
      </c>
      <c r="B506" s="29">
        <f t="shared" si="14"/>
        <v>48.94658347482489</v>
      </c>
      <c r="C506" s="29"/>
      <c r="D506" s="29"/>
      <c r="E506" s="58">
        <f t="shared" si="15"/>
        <v>55171.977655458584</v>
      </c>
    </row>
    <row r="507" spans="1:5" ht="12.75">
      <c r="A507" s="1">
        <v>0.47800000000000004</v>
      </c>
      <c r="B507" s="29">
        <f t="shared" si="14"/>
        <v>48.94890834422964</v>
      </c>
      <c r="C507" s="29"/>
      <c r="D507" s="29"/>
      <c r="E507" s="58">
        <f t="shared" si="15"/>
        <v>55173.08721576758</v>
      </c>
    </row>
    <row r="508" spans="1:5" ht="12.75">
      <c r="A508" s="1">
        <v>0.47900000000000004</v>
      </c>
      <c r="B508" s="29">
        <f t="shared" si="14"/>
        <v>48.95123289163616</v>
      </c>
      <c r="C508" s="29"/>
      <c r="D508" s="29"/>
      <c r="E508" s="58">
        <f t="shared" si="15"/>
        <v>55174.19732087781</v>
      </c>
    </row>
    <row r="509" spans="1:5" ht="12.75">
      <c r="A509" s="1">
        <v>0.48</v>
      </c>
      <c r="B509" s="29">
        <f t="shared" si="14"/>
        <v>48.95355713177776</v>
      </c>
      <c r="C509" s="29"/>
      <c r="D509" s="29"/>
      <c r="E509" s="58">
        <f t="shared" si="15"/>
        <v>55175.30797751503</v>
      </c>
    </row>
    <row r="510" spans="1:5" ht="12.75">
      <c r="A510" s="1">
        <v>0.481</v>
      </c>
      <c r="B510" s="29">
        <f t="shared" si="14"/>
        <v>48.9558810793742</v>
      </c>
      <c r="C510" s="29"/>
      <c r="D510" s="29"/>
      <c r="E510" s="58">
        <f t="shared" si="15"/>
        <v>55176.41919241618</v>
      </c>
    </row>
    <row r="511" spans="1:5" ht="12.75">
      <c r="A511" s="1">
        <v>0.482</v>
      </c>
      <c r="B511" s="29">
        <f t="shared" si="14"/>
        <v>48.9582047491323</v>
      </c>
      <c r="C511" s="29"/>
      <c r="D511" s="29"/>
      <c r="E511" s="58">
        <f t="shared" si="15"/>
        <v>55177.53097232964</v>
      </c>
    </row>
    <row r="512" spans="1:5" ht="12.75">
      <c r="A512" s="1">
        <v>0.483</v>
      </c>
      <c r="B512" s="29">
        <f t="shared" si="14"/>
        <v>48.96052815574662</v>
      </c>
      <c r="C512" s="29"/>
      <c r="D512" s="29"/>
      <c r="E512" s="58">
        <f t="shared" si="15"/>
        <v>55178.64332401559</v>
      </c>
    </row>
    <row r="513" spans="1:5" ht="12.75">
      <c r="A513" s="1">
        <v>0.484</v>
      </c>
      <c r="B513" s="29">
        <f t="shared" si="14"/>
        <v>48.96285131390009</v>
      </c>
      <c r="C513" s="29"/>
      <c r="D513" s="29"/>
      <c r="E513" s="58">
        <f t="shared" si="15"/>
        <v>55179.75625424623</v>
      </c>
    </row>
    <row r="514" spans="1:5" ht="12.75">
      <c r="A514" s="1">
        <v>0.485</v>
      </c>
      <c r="B514" s="29">
        <f t="shared" si="14"/>
        <v>48.965174238264666</v>
      </c>
      <c r="C514" s="29"/>
      <c r="D514" s="29"/>
      <c r="E514" s="58">
        <f t="shared" si="15"/>
        <v>55180.869769806115</v>
      </c>
    </row>
    <row r="515" spans="1:5" ht="12.75">
      <c r="A515" s="1">
        <v>0.486</v>
      </c>
      <c r="B515" s="29">
        <f t="shared" si="14"/>
        <v>48.96749694350202</v>
      </c>
      <c r="C515" s="29"/>
      <c r="D515" s="29"/>
      <c r="E515" s="58">
        <f t="shared" si="15"/>
        <v>55181.983877492414</v>
      </c>
    </row>
    <row r="516" spans="1:5" ht="12.75">
      <c r="A516" s="1">
        <v>0.487</v>
      </c>
      <c r="B516" s="29">
        <f t="shared" si="14"/>
        <v>48.96981944426413</v>
      </c>
      <c r="C516" s="29"/>
      <c r="D516" s="29"/>
      <c r="E516" s="58">
        <f t="shared" si="15"/>
        <v>55183.098584115236</v>
      </c>
    </row>
    <row r="517" spans="1:5" ht="12.75">
      <c r="A517" s="1">
        <v>0.488</v>
      </c>
      <c r="B517" s="29">
        <f t="shared" si="14"/>
        <v>48.97214175519399</v>
      </c>
      <c r="C517" s="29"/>
      <c r="D517" s="29"/>
      <c r="E517" s="58">
        <f t="shared" si="15"/>
        <v>55184.21389649788</v>
      </c>
    </row>
    <row r="518" spans="1:5" ht="12.75">
      <c r="A518" s="1">
        <v>0.489</v>
      </c>
      <c r="B518" s="29">
        <f t="shared" si="14"/>
        <v>48.974463890926195</v>
      </c>
      <c r="C518" s="29"/>
      <c r="D518" s="29"/>
      <c r="E518" s="58">
        <f t="shared" si="15"/>
        <v>55185.32982147714</v>
      </c>
    </row>
    <row r="519" spans="1:5" ht="12.75">
      <c r="A519" s="1">
        <v>0.49</v>
      </c>
      <c r="B519" s="29">
        <f t="shared" si="14"/>
        <v>48.976785866087646</v>
      </c>
      <c r="C519" s="29"/>
      <c r="D519" s="29"/>
      <c r="E519" s="58">
        <f t="shared" si="15"/>
        <v>55186.446365903656</v>
      </c>
    </row>
    <row r="520" spans="1:5" ht="12.75">
      <c r="A520" s="1">
        <v>0.491</v>
      </c>
      <c r="B520" s="29">
        <f t="shared" si="14"/>
        <v>48.97910769529816</v>
      </c>
      <c r="C520" s="29"/>
      <c r="D520" s="29"/>
      <c r="E520" s="58">
        <f t="shared" si="15"/>
        <v>55187.5635366421</v>
      </c>
    </row>
    <row r="521" spans="1:5" ht="12.75">
      <c r="A521" s="1">
        <v>0.492</v>
      </c>
      <c r="B521" s="29">
        <f t="shared" si="14"/>
        <v>48.98142939317114</v>
      </c>
      <c r="C521" s="29"/>
      <c r="D521" s="29"/>
      <c r="E521" s="58">
        <f t="shared" si="15"/>
        <v>55188.68134057155</v>
      </c>
    </row>
    <row r="522" spans="1:5" ht="12.75">
      <c r="A522" s="1">
        <v>0.493</v>
      </c>
      <c r="B522" s="29">
        <f t="shared" si="14"/>
        <v>48.983750974314184</v>
      </c>
      <c r="C522" s="29"/>
      <c r="D522" s="29"/>
      <c r="E522" s="58">
        <f t="shared" si="15"/>
        <v>55189.79978458579</v>
      </c>
    </row>
    <row r="523" spans="1:5" ht="12.75">
      <c r="A523" s="1">
        <v>0.494</v>
      </c>
      <c r="B523" s="29">
        <f t="shared" si="14"/>
        <v>48.986072453329776</v>
      </c>
      <c r="C523" s="29"/>
      <c r="D523" s="29"/>
      <c r="E523" s="58">
        <f t="shared" si="15"/>
        <v>55190.91887559356</v>
      </c>
    </row>
    <row r="524" spans="1:5" ht="12.75">
      <c r="A524" s="1">
        <v>0.495</v>
      </c>
      <c r="B524" s="29">
        <f t="shared" si="14"/>
        <v>48.988393844815896</v>
      </c>
      <c r="C524" s="29"/>
      <c r="D524" s="29"/>
      <c r="E524" s="58">
        <f t="shared" si="15"/>
        <v>55192.038620518906</v>
      </c>
    </row>
    <row r="525" spans="1:5" ht="12.75">
      <c r="A525" s="1">
        <v>0.496</v>
      </c>
      <c r="B525" s="29">
        <f t="shared" si="14"/>
        <v>48.990715163366666</v>
      </c>
      <c r="C525" s="29"/>
      <c r="D525" s="29"/>
      <c r="E525" s="58">
        <f t="shared" si="15"/>
        <v>55193.15902630143</v>
      </c>
    </row>
    <row r="526" spans="1:5" ht="12.75">
      <c r="A526" s="1">
        <v>0.497</v>
      </c>
      <c r="B526" s="29">
        <f t="shared" si="14"/>
        <v>48.993036423573</v>
      </c>
      <c r="C526" s="29"/>
      <c r="D526" s="29"/>
      <c r="E526" s="58">
        <f t="shared" si="15"/>
        <v>55194.28009989661</v>
      </c>
    </row>
    <row r="527" spans="1:5" ht="12.75">
      <c r="A527" s="1">
        <v>0.498</v>
      </c>
      <c r="B527" s="29">
        <f t="shared" si="14"/>
        <v>48.99535764002327</v>
      </c>
      <c r="C527" s="29"/>
      <c r="D527" s="29"/>
      <c r="E527" s="58">
        <f t="shared" si="15"/>
        <v>55195.40184827616</v>
      </c>
    </row>
    <row r="528" spans="1:5" ht="12.75">
      <c r="A528" s="1">
        <v>0.499</v>
      </c>
      <c r="B528" s="29">
        <f t="shared" si="14"/>
        <v>48.997678827303886</v>
      </c>
      <c r="C528" s="29"/>
      <c r="D528" s="29"/>
      <c r="E528" s="58">
        <f t="shared" si="15"/>
        <v>55196.52427842823</v>
      </c>
    </row>
    <row r="529" spans="1:5" ht="12.75">
      <c r="A529" s="1">
        <v>0.5</v>
      </c>
      <c r="B529" s="29">
        <f t="shared" si="14"/>
        <v>49</v>
      </c>
      <c r="C529" s="29"/>
      <c r="D529" s="29"/>
      <c r="E529" s="58">
        <f t="shared" si="15"/>
        <v>55197.64739735779</v>
      </c>
    </row>
    <row r="530" spans="1:5" ht="12.75">
      <c r="A530" s="1">
        <v>0.501</v>
      </c>
      <c r="B530" s="29">
        <f t="shared" si="14"/>
        <v>49.002321172696114</v>
      </c>
      <c r="C530" s="29"/>
      <c r="D530" s="29"/>
      <c r="E530" s="58">
        <f t="shared" si="15"/>
        <v>55198.77121208689</v>
      </c>
    </row>
    <row r="531" spans="1:5" ht="12.75">
      <c r="A531" s="1">
        <v>0.502</v>
      </c>
      <c r="B531" s="29">
        <f t="shared" si="14"/>
        <v>49.00464235997673</v>
      </c>
      <c r="C531" s="29"/>
      <c r="D531" s="29"/>
      <c r="E531" s="58">
        <f t="shared" si="15"/>
        <v>55199.89572965502</v>
      </c>
    </row>
    <row r="532" spans="1:5" ht="12.75">
      <c r="A532" s="1">
        <v>0.503</v>
      </c>
      <c r="B532" s="29">
        <f t="shared" si="14"/>
        <v>49.006963576427</v>
      </c>
      <c r="C532" s="29"/>
      <c r="D532" s="29"/>
      <c r="E532" s="58">
        <f t="shared" si="15"/>
        <v>55201.02095711937</v>
      </c>
    </row>
    <row r="533" spans="1:5" ht="12.75">
      <c r="A533" s="1">
        <v>0.504</v>
      </c>
      <c r="B533" s="29">
        <f t="shared" si="14"/>
        <v>49.009284836633334</v>
      </c>
      <c r="C533" s="29"/>
      <c r="D533" s="29"/>
      <c r="E533" s="58">
        <f t="shared" si="15"/>
        <v>55202.14690155516</v>
      </c>
    </row>
    <row r="534" spans="1:5" ht="12.75">
      <c r="A534" s="1">
        <v>0.505</v>
      </c>
      <c r="B534" s="29">
        <f t="shared" si="14"/>
        <v>49.011606155184104</v>
      </c>
      <c r="C534" s="29"/>
      <c r="D534" s="29"/>
      <c r="E534" s="58">
        <f t="shared" si="15"/>
        <v>55203.27357005596</v>
      </c>
    </row>
    <row r="535" spans="1:5" ht="12.75">
      <c r="A535" s="1">
        <v>0.506</v>
      </c>
      <c r="B535" s="29">
        <f t="shared" si="14"/>
        <v>49.013927546670224</v>
      </c>
      <c r="C535" s="29"/>
      <c r="D535" s="29"/>
      <c r="E535" s="58">
        <f t="shared" si="15"/>
        <v>55204.400969733986</v>
      </c>
    </row>
    <row r="536" spans="1:5" ht="12.75">
      <c r="A536" s="1">
        <v>0.507</v>
      </c>
      <c r="B536" s="29">
        <f t="shared" si="14"/>
        <v>49.016249025685816</v>
      </c>
      <c r="C536" s="29"/>
      <c r="D536" s="29"/>
      <c r="E536" s="58">
        <f t="shared" si="15"/>
        <v>55205.52910772044</v>
      </c>
    </row>
    <row r="537" spans="1:5" ht="12.75">
      <c r="A537" s="1">
        <v>0.508</v>
      </c>
      <c r="B537" s="29">
        <f t="shared" si="14"/>
        <v>49.01857060682886</v>
      </c>
      <c r="C537" s="29"/>
      <c r="D537" s="29"/>
      <c r="E537" s="58">
        <f t="shared" si="15"/>
        <v>55206.65799116578</v>
      </c>
    </row>
    <row r="538" spans="1:5" ht="12.75">
      <c r="A538" s="1">
        <v>0.509</v>
      </c>
      <c r="B538" s="29">
        <f t="shared" si="14"/>
        <v>49.02089230470184</v>
      </c>
      <c r="C538" s="29"/>
      <c r="D538" s="29"/>
      <c r="E538" s="58">
        <f t="shared" si="15"/>
        <v>55207.78762724012</v>
      </c>
    </row>
    <row r="539" spans="1:5" ht="12.75">
      <c r="A539" s="1">
        <v>0.51</v>
      </c>
      <c r="B539" s="29">
        <f t="shared" si="14"/>
        <v>49.023214133912354</v>
      </c>
      <c r="C539" s="29"/>
      <c r="D539" s="29"/>
      <c r="E539" s="58">
        <f t="shared" si="15"/>
        <v>55208.918023133454</v>
      </c>
    </row>
    <row r="540" spans="1:5" ht="12.75">
      <c r="A540" s="1">
        <v>0.511</v>
      </c>
      <c r="B540" s="29">
        <f t="shared" si="14"/>
        <v>49.025536109073805</v>
      </c>
      <c r="C540" s="29"/>
      <c r="D540" s="29"/>
      <c r="E540" s="58">
        <f t="shared" si="15"/>
        <v>55210.04918605607</v>
      </c>
    </row>
    <row r="541" spans="1:5" ht="12.75">
      <c r="A541" s="1">
        <v>0.512</v>
      </c>
      <c r="B541" s="29">
        <f t="shared" si="14"/>
        <v>49.02785824480601</v>
      </c>
      <c r="C541" s="29"/>
      <c r="D541" s="29"/>
      <c r="E541" s="58">
        <f t="shared" si="15"/>
        <v>55211.181123238784</v>
      </c>
    </row>
    <row r="542" spans="1:5" ht="12.75">
      <c r="A542" s="1">
        <v>0.513</v>
      </c>
      <c r="B542" s="29">
        <f t="shared" si="14"/>
        <v>49.03018055573587</v>
      </c>
      <c r="C542" s="29"/>
      <c r="D542" s="29"/>
      <c r="E542" s="58">
        <f t="shared" si="15"/>
        <v>55212.31384193334</v>
      </c>
    </row>
    <row r="543" spans="1:5" ht="12.75">
      <c r="A543" s="1">
        <v>0.514</v>
      </c>
      <c r="B543" s="29">
        <f aca="true" t="shared" si="16" ref="B543:B606">$C$6+NORMSINV($A543)*$C$11*$C$6</f>
        <v>49.03250305649798</v>
      </c>
      <c r="C543" s="29"/>
      <c r="D543" s="29"/>
      <c r="E543" s="58">
        <f aca="true" t="shared" si="17" ref="E543:E606">EPortfolio($C$5+1/252,$B543,$C$7,$C$8,$C$9,,$C$10,$H$7:$L$10,0)</f>
        <v>55213.447349412716</v>
      </c>
    </row>
    <row r="544" spans="1:5" ht="12.75">
      <c r="A544" s="1">
        <v>0.515</v>
      </c>
      <c r="B544" s="29">
        <f t="shared" si="16"/>
        <v>49.034825761735334</v>
      </c>
      <c r="C544" s="29"/>
      <c r="D544" s="29"/>
      <c r="E544" s="58">
        <f t="shared" si="17"/>
        <v>55214.58165297142</v>
      </c>
    </row>
    <row r="545" spans="1:5" ht="12.75">
      <c r="A545" s="1">
        <v>0.516</v>
      </c>
      <c r="B545" s="29">
        <f t="shared" si="16"/>
        <v>49.03714868609991</v>
      </c>
      <c r="C545" s="29"/>
      <c r="D545" s="29"/>
      <c r="E545" s="58">
        <f t="shared" si="17"/>
        <v>55215.716759925854</v>
      </c>
    </row>
    <row r="546" spans="1:5" ht="12.75">
      <c r="A546" s="1">
        <v>0.517</v>
      </c>
      <c r="B546" s="29">
        <f t="shared" si="16"/>
        <v>49.03947184425338</v>
      </c>
      <c r="C546" s="29"/>
      <c r="D546" s="29"/>
      <c r="E546" s="58">
        <f t="shared" si="17"/>
        <v>55216.85267761464</v>
      </c>
    </row>
    <row r="547" spans="1:5" ht="12.75">
      <c r="A547" s="1">
        <v>0.518</v>
      </c>
      <c r="B547" s="29">
        <f t="shared" si="16"/>
        <v>49.04179525086769</v>
      </c>
      <c r="C547" s="29"/>
      <c r="D547" s="29"/>
      <c r="E547" s="58">
        <f t="shared" si="17"/>
        <v>55217.98941339899</v>
      </c>
    </row>
    <row r="548" spans="1:5" ht="12.75">
      <c r="A548" s="1">
        <v>0.519</v>
      </c>
      <c r="B548" s="29">
        <f t="shared" si="16"/>
        <v>49.0441189206258</v>
      </c>
      <c r="C548" s="29"/>
      <c r="D548" s="29"/>
      <c r="E548" s="58">
        <f t="shared" si="17"/>
        <v>55219.126974662955</v>
      </c>
    </row>
    <row r="549" spans="1:5" ht="12.75">
      <c r="A549" s="1">
        <v>0.52</v>
      </c>
      <c r="B549" s="29">
        <f t="shared" si="16"/>
        <v>49.04644286822224</v>
      </c>
      <c r="C549" s="29"/>
      <c r="D549" s="29"/>
      <c r="E549" s="58">
        <f t="shared" si="17"/>
        <v>55220.26536881385</v>
      </c>
    </row>
    <row r="550" spans="1:5" ht="12.75">
      <c r="A550" s="1">
        <v>0.521</v>
      </c>
      <c r="B550" s="29">
        <f t="shared" si="16"/>
        <v>49.04876710836384</v>
      </c>
      <c r="C550" s="29"/>
      <c r="D550" s="29"/>
      <c r="E550" s="58">
        <f t="shared" si="17"/>
        <v>55221.40460328254</v>
      </c>
    </row>
    <row r="551" spans="1:5" ht="12.75">
      <c r="A551" s="1">
        <v>0.522</v>
      </c>
      <c r="B551" s="29">
        <f t="shared" si="16"/>
        <v>49.05109165577036</v>
      </c>
      <c r="C551" s="29"/>
      <c r="D551" s="29"/>
      <c r="E551" s="58">
        <f t="shared" si="17"/>
        <v>55222.54468552384</v>
      </c>
    </row>
    <row r="552" spans="1:5" ht="12.75">
      <c r="A552" s="1">
        <v>0.523</v>
      </c>
      <c r="B552" s="29">
        <f t="shared" si="16"/>
        <v>49.05341652517511</v>
      </c>
      <c r="C552" s="29"/>
      <c r="D552" s="29"/>
      <c r="E552" s="58">
        <f t="shared" si="17"/>
        <v>55223.6856230168</v>
      </c>
    </row>
    <row r="553" spans="1:5" ht="12.75">
      <c r="A553" s="1">
        <v>0.524</v>
      </c>
      <c r="B553" s="29">
        <f t="shared" si="16"/>
        <v>49.05574173132569</v>
      </c>
      <c r="C553" s="29"/>
      <c r="D553" s="29"/>
      <c r="E553" s="58">
        <f t="shared" si="17"/>
        <v>55224.82742326508</v>
      </c>
    </row>
    <row r="554" spans="1:5" ht="12.75">
      <c r="A554" s="1">
        <v>0.525</v>
      </c>
      <c r="B554" s="29">
        <f t="shared" si="16"/>
        <v>49.05806728898456</v>
      </c>
      <c r="C554" s="29"/>
      <c r="D554" s="29"/>
      <c r="E554" s="58">
        <f t="shared" si="17"/>
        <v>55225.97009379731</v>
      </c>
    </row>
    <row r="555" spans="1:5" ht="12.75">
      <c r="A555" s="1">
        <v>0.526</v>
      </c>
      <c r="B555" s="29">
        <f t="shared" si="16"/>
        <v>49.06039321292978</v>
      </c>
      <c r="C555" s="29"/>
      <c r="D555" s="29"/>
      <c r="E555" s="58">
        <f t="shared" si="17"/>
        <v>55227.11364216744</v>
      </c>
    </row>
    <row r="556" spans="1:5" ht="12.75">
      <c r="A556" s="1">
        <v>0.527</v>
      </c>
      <c r="B556" s="29">
        <f t="shared" si="16"/>
        <v>49.06271951795563</v>
      </c>
      <c r="C556" s="29"/>
      <c r="D556" s="29"/>
      <c r="E556" s="58">
        <f t="shared" si="17"/>
        <v>55228.25807595506</v>
      </c>
    </row>
    <row r="557" spans="1:5" ht="12.75">
      <c r="A557" s="1">
        <v>0.528</v>
      </c>
      <c r="B557" s="29">
        <f t="shared" si="16"/>
        <v>49.06504621887325</v>
      </c>
      <c r="C557" s="29"/>
      <c r="D557" s="29"/>
      <c r="E557" s="58">
        <f t="shared" si="17"/>
        <v>55229.403402765805</v>
      </c>
    </row>
    <row r="558" spans="1:5" ht="12.75">
      <c r="A558" s="1">
        <v>0.529</v>
      </c>
      <c r="B558" s="29">
        <f t="shared" si="16"/>
        <v>49.06737333051139</v>
      </c>
      <c r="C558" s="29"/>
      <c r="D558" s="29"/>
      <c r="E558" s="58">
        <f t="shared" si="17"/>
        <v>55230.5496302317</v>
      </c>
    </row>
    <row r="559" spans="1:5" ht="12.75">
      <c r="A559" s="1">
        <v>0.53</v>
      </c>
      <c r="B559" s="29">
        <f t="shared" si="16"/>
        <v>49.069700867716996</v>
      </c>
      <c r="C559" s="29"/>
      <c r="D559" s="29"/>
      <c r="E559" s="58">
        <f t="shared" si="17"/>
        <v>55231.6967660115</v>
      </c>
    </row>
    <row r="560" spans="1:5" ht="12.75">
      <c r="A560" s="1">
        <v>0.531</v>
      </c>
      <c r="B560" s="29">
        <f t="shared" si="16"/>
        <v>49.07202884535594</v>
      </c>
      <c r="C560" s="29"/>
      <c r="D560" s="29"/>
      <c r="E560" s="58">
        <f t="shared" si="17"/>
        <v>55232.84481779106</v>
      </c>
    </row>
    <row r="561" spans="1:5" ht="12.75">
      <c r="A561" s="1">
        <v>0.532</v>
      </c>
      <c r="B561" s="29">
        <f t="shared" si="16"/>
        <v>49.07435727831365</v>
      </c>
      <c r="C561" s="29"/>
      <c r="D561" s="29"/>
      <c r="E561" s="58">
        <f t="shared" si="17"/>
        <v>55233.99379328374</v>
      </c>
    </row>
    <row r="562" spans="1:5" ht="12.75">
      <c r="A562" s="1">
        <v>0.533</v>
      </c>
      <c r="B562" s="29">
        <f t="shared" si="16"/>
        <v>49.07668618149582</v>
      </c>
      <c r="C562" s="29"/>
      <c r="D562" s="29"/>
      <c r="E562" s="58">
        <f t="shared" si="17"/>
        <v>55235.14370023074</v>
      </c>
    </row>
    <row r="563" spans="1:5" ht="12.75">
      <c r="A563" s="1">
        <v>0.534</v>
      </c>
      <c r="B563" s="29">
        <f t="shared" si="16"/>
        <v>49.079015569829075</v>
      </c>
      <c r="C563" s="29"/>
      <c r="D563" s="29"/>
      <c r="E563" s="58">
        <f t="shared" si="17"/>
        <v>55236.29077084711</v>
      </c>
    </row>
    <row r="564" spans="1:5" ht="12.75">
      <c r="A564" s="1">
        <v>0.535</v>
      </c>
      <c r="B564" s="29">
        <f t="shared" si="16"/>
        <v>49.08134545826164</v>
      </c>
      <c r="C564" s="29"/>
      <c r="D564" s="29"/>
      <c r="E564" s="58">
        <f t="shared" si="17"/>
        <v>55237.44256247729</v>
      </c>
    </row>
    <row r="565" spans="1:5" ht="12.75">
      <c r="A565" s="1">
        <v>0.536</v>
      </c>
      <c r="B565" s="29">
        <f t="shared" si="16"/>
        <v>49.08367586176404</v>
      </c>
      <c r="C565" s="29"/>
      <c r="D565" s="29"/>
      <c r="E565" s="58">
        <f t="shared" si="17"/>
        <v>55238.595307768344</v>
      </c>
    </row>
    <row r="566" spans="1:5" ht="12.75">
      <c r="A566" s="1">
        <v>0.537</v>
      </c>
      <c r="B566" s="29">
        <f t="shared" si="16"/>
        <v>49.0860067953298</v>
      </c>
      <c r="C566" s="29"/>
      <c r="D566" s="29"/>
      <c r="E566" s="58">
        <f t="shared" si="17"/>
        <v>55239.74901457573</v>
      </c>
    </row>
    <row r="567" spans="1:5" ht="12.75">
      <c r="A567" s="1">
        <v>0.538</v>
      </c>
      <c r="B567" s="29">
        <f t="shared" si="16"/>
        <v>49.08833827397608</v>
      </c>
      <c r="C567" s="29"/>
      <c r="D567" s="29"/>
      <c r="E567" s="58">
        <f t="shared" si="17"/>
        <v>55240.903690784646</v>
      </c>
    </row>
    <row r="568" spans="1:5" ht="12.75">
      <c r="A568" s="1">
        <v>0.539</v>
      </c>
      <c r="B568" s="29">
        <f t="shared" si="16"/>
        <v>49.090670312744415</v>
      </c>
      <c r="C568" s="29"/>
      <c r="D568" s="29"/>
      <c r="E568" s="58">
        <f t="shared" si="17"/>
        <v>55242.05934431034</v>
      </c>
    </row>
    <row r="569" spans="1:5" ht="12.75">
      <c r="A569" s="1">
        <v>0.54</v>
      </c>
      <c r="B569" s="29">
        <f t="shared" si="16"/>
        <v>49.09300292670141</v>
      </c>
      <c r="C569" s="29"/>
      <c r="D569" s="29"/>
      <c r="E569" s="58">
        <f t="shared" si="17"/>
        <v>55243.215983098555</v>
      </c>
    </row>
    <row r="570" spans="1:5" ht="12.75">
      <c r="A570" s="1">
        <v>0.541</v>
      </c>
      <c r="B570" s="29">
        <f t="shared" si="16"/>
        <v>49.09533613093941</v>
      </c>
      <c r="C570" s="29"/>
      <c r="D570" s="29"/>
      <c r="E570" s="58">
        <f t="shared" si="17"/>
        <v>55244.373615125834</v>
      </c>
    </row>
    <row r="571" spans="1:5" ht="12.75">
      <c r="A571" s="1">
        <v>0.542</v>
      </c>
      <c r="B571" s="29">
        <f t="shared" si="16"/>
        <v>49.0976699405772</v>
      </c>
      <c r="C571" s="29"/>
      <c r="D571" s="29"/>
      <c r="E571" s="58">
        <f t="shared" si="17"/>
        <v>55245.53224840006</v>
      </c>
    </row>
    <row r="572" spans="1:5" ht="12.75">
      <c r="A572" s="1">
        <v>0.543</v>
      </c>
      <c r="B572" s="29">
        <f t="shared" si="16"/>
        <v>49.10000437076074</v>
      </c>
      <c r="C572" s="29"/>
      <c r="D572" s="29"/>
      <c r="E572" s="58">
        <f t="shared" si="17"/>
        <v>55246.691890960676</v>
      </c>
    </row>
    <row r="573" spans="1:5" ht="12.75">
      <c r="A573" s="1">
        <v>0.544</v>
      </c>
      <c r="B573" s="29">
        <f t="shared" si="16"/>
        <v>49.102339436663854</v>
      </c>
      <c r="C573" s="29"/>
      <c r="D573" s="29"/>
      <c r="E573" s="58">
        <f t="shared" si="17"/>
        <v>55247.85255087928</v>
      </c>
    </row>
    <row r="574" spans="1:5" ht="12.75">
      <c r="A574" s="1">
        <v>0.545</v>
      </c>
      <c r="B574" s="29">
        <f t="shared" si="16"/>
        <v>49.10467515348891</v>
      </c>
      <c r="C574" s="29"/>
      <c r="D574" s="29"/>
      <c r="E574" s="58">
        <f t="shared" si="17"/>
        <v>55249.01423625985</v>
      </c>
    </row>
    <row r="575" spans="1:5" ht="12.75">
      <c r="A575" s="1">
        <v>0.546</v>
      </c>
      <c r="B575" s="29">
        <f t="shared" si="16"/>
        <v>49.1070115364676</v>
      </c>
      <c r="C575" s="29"/>
      <c r="D575" s="29"/>
      <c r="E575" s="58">
        <f t="shared" si="17"/>
        <v>55250.176955239265</v>
      </c>
    </row>
    <row r="576" spans="1:5" ht="12.75">
      <c r="A576" s="1">
        <v>0.547</v>
      </c>
      <c r="B576" s="29">
        <f t="shared" si="16"/>
        <v>49.10934860086158</v>
      </c>
      <c r="C576" s="29"/>
      <c r="D576" s="29"/>
      <c r="E576" s="58">
        <f t="shared" si="17"/>
        <v>55251.340715987695</v>
      </c>
    </row>
    <row r="577" spans="1:5" ht="12.75">
      <c r="A577" s="1">
        <v>0.548</v>
      </c>
      <c r="B577" s="29">
        <f t="shared" si="16"/>
        <v>49.11168636196325</v>
      </c>
      <c r="C577" s="29"/>
      <c r="D577" s="29"/>
      <c r="E577" s="58">
        <f t="shared" si="17"/>
        <v>55252.50552670896</v>
      </c>
    </row>
    <row r="578" spans="1:5" ht="12.75">
      <c r="A578" s="1">
        <v>0.549</v>
      </c>
      <c r="B578" s="29">
        <f t="shared" si="16"/>
        <v>49.114024835096444</v>
      </c>
      <c r="C578" s="29"/>
      <c r="D578" s="29"/>
      <c r="E578" s="58">
        <f t="shared" si="17"/>
        <v>55253.67139564105</v>
      </c>
    </row>
    <row r="579" spans="1:5" ht="12.75">
      <c r="A579" s="1">
        <v>0.55</v>
      </c>
      <c r="B579" s="29">
        <f t="shared" si="16"/>
        <v>49.11636403561718</v>
      </c>
      <c r="C579" s="29"/>
      <c r="D579" s="29"/>
      <c r="E579" s="58">
        <f t="shared" si="17"/>
        <v>55254.83833105643</v>
      </c>
    </row>
    <row r="580" spans="1:5" ht="12.75">
      <c r="A580" s="1">
        <v>0.551</v>
      </c>
      <c r="B580" s="29">
        <f t="shared" si="16"/>
        <v>49.118703978914375</v>
      </c>
      <c r="C580" s="29"/>
      <c r="D580" s="29"/>
      <c r="E580" s="58">
        <f t="shared" si="17"/>
        <v>55256.00634126259</v>
      </c>
    </row>
    <row r="581" spans="1:5" ht="12.75">
      <c r="A581" s="1">
        <v>0.552</v>
      </c>
      <c r="B581" s="29">
        <f t="shared" si="16"/>
        <v>49.12104468041057</v>
      </c>
      <c r="C581" s="29"/>
      <c r="D581" s="29"/>
      <c r="E581" s="58">
        <f t="shared" si="17"/>
        <v>55257.175434602344</v>
      </c>
    </row>
    <row r="582" spans="1:5" ht="12.75">
      <c r="A582" s="1">
        <v>0.553</v>
      </c>
      <c r="B582" s="29">
        <f t="shared" si="16"/>
        <v>49.123386155562706</v>
      </c>
      <c r="C582" s="29"/>
      <c r="D582" s="29"/>
      <c r="E582" s="58">
        <f t="shared" si="17"/>
        <v>55258.34561945438</v>
      </c>
    </row>
    <row r="583" spans="1:5" ht="12.75">
      <c r="A583" s="1">
        <v>0.554</v>
      </c>
      <c r="B583" s="29">
        <f t="shared" si="16"/>
        <v>49.12572841986283</v>
      </c>
      <c r="C583" s="29"/>
      <c r="D583" s="29"/>
      <c r="E583" s="58">
        <f t="shared" si="17"/>
        <v>55259.5169042336</v>
      </c>
    </row>
    <row r="584" spans="1:5" ht="12.75">
      <c r="A584" s="1">
        <v>0.555</v>
      </c>
      <c r="B584" s="29">
        <f t="shared" si="16"/>
        <v>49.12807148883887</v>
      </c>
      <c r="C584" s="29"/>
      <c r="D584" s="29"/>
      <c r="E584" s="58">
        <f t="shared" si="17"/>
        <v>55260.68929739163</v>
      </c>
    </row>
    <row r="585" spans="1:5" ht="12.75">
      <c r="A585" s="1">
        <v>0.556</v>
      </c>
      <c r="B585" s="29">
        <f t="shared" si="16"/>
        <v>49.13041537805536</v>
      </c>
      <c r="C585" s="29"/>
      <c r="D585" s="29"/>
      <c r="E585" s="58">
        <f t="shared" si="17"/>
        <v>55261.86280741723</v>
      </c>
    </row>
    <row r="586" spans="1:5" ht="12.75">
      <c r="A586" s="1">
        <v>0.557</v>
      </c>
      <c r="B586" s="29">
        <f t="shared" si="16"/>
        <v>49.13276010311422</v>
      </c>
      <c r="C586" s="29"/>
      <c r="D586" s="29"/>
      <c r="E586" s="58">
        <f t="shared" si="17"/>
        <v>55263.037442836765</v>
      </c>
    </row>
    <row r="587" spans="1:5" ht="12.75">
      <c r="A587" s="1">
        <v>0.558</v>
      </c>
      <c r="B587" s="29">
        <f t="shared" si="16"/>
        <v>49.13510567965551</v>
      </c>
      <c r="C587" s="29"/>
      <c r="D587" s="29"/>
      <c r="E587" s="58">
        <f t="shared" si="17"/>
        <v>55264.21321221459</v>
      </c>
    </row>
    <row r="588" spans="1:5" ht="12.75">
      <c r="A588" s="1">
        <v>0.559</v>
      </c>
      <c r="B588" s="29">
        <f t="shared" si="16"/>
        <v>49.13745212335817</v>
      </c>
      <c r="C588" s="29"/>
      <c r="D588" s="29"/>
      <c r="E588" s="58">
        <f t="shared" si="17"/>
        <v>55265.39012415361</v>
      </c>
    </row>
    <row r="589" spans="1:5" ht="12.75">
      <c r="A589" s="1">
        <v>0.56</v>
      </c>
      <c r="B589" s="29">
        <f t="shared" si="16"/>
        <v>49.139799449940845</v>
      </c>
      <c r="C589" s="29"/>
      <c r="D589" s="29"/>
      <c r="E589" s="58">
        <f t="shared" si="17"/>
        <v>55266.56818729566</v>
      </c>
    </row>
    <row r="590" spans="1:5" ht="12.75">
      <c r="A590" s="1">
        <v>0.561</v>
      </c>
      <c r="B590" s="29">
        <f t="shared" si="16"/>
        <v>49.142147675162605</v>
      </c>
      <c r="C590" s="29"/>
      <c r="D590" s="29"/>
      <c r="E590" s="58">
        <f t="shared" si="17"/>
        <v>55267.747410322</v>
      </c>
    </row>
    <row r="591" spans="1:5" ht="12.75">
      <c r="A591" s="1">
        <v>0.562</v>
      </c>
      <c r="B591" s="29">
        <f t="shared" si="16"/>
        <v>49.14449681482374</v>
      </c>
      <c r="C591" s="29"/>
      <c r="D591" s="29"/>
      <c r="E591" s="58">
        <f t="shared" si="17"/>
        <v>55268.92780195379</v>
      </c>
    </row>
    <row r="592" spans="1:5" ht="12.75">
      <c r="A592" s="1">
        <v>0.5630000000000001</v>
      </c>
      <c r="B592" s="29">
        <f t="shared" si="16"/>
        <v>49.146846884766575</v>
      </c>
      <c r="C592" s="29"/>
      <c r="D592" s="29"/>
      <c r="E592" s="58">
        <f t="shared" si="17"/>
        <v>55270.10937095253</v>
      </c>
    </row>
    <row r="593" spans="1:5" ht="12.75">
      <c r="A593" s="1">
        <v>0.5640000000000001</v>
      </c>
      <c r="B593" s="29">
        <f t="shared" si="16"/>
        <v>49.14919790087621</v>
      </c>
      <c r="C593" s="29"/>
      <c r="D593" s="29"/>
      <c r="E593" s="58">
        <f t="shared" si="17"/>
        <v>55271.292126120556</v>
      </c>
    </row>
    <row r="594" spans="1:5" ht="12.75">
      <c r="A594" s="1">
        <v>0.565</v>
      </c>
      <c r="B594" s="29">
        <f t="shared" si="16"/>
        <v>49.151549879081365</v>
      </c>
      <c r="C594" s="29"/>
      <c r="D594" s="29"/>
      <c r="E594" s="58">
        <f t="shared" si="17"/>
        <v>55272.47607630156</v>
      </c>
    </row>
    <row r="595" spans="1:5" ht="12.75">
      <c r="A595" s="1">
        <v>0.5660000000000001</v>
      </c>
      <c r="B595" s="29">
        <f t="shared" si="16"/>
        <v>49.153902835355126</v>
      </c>
      <c r="C595" s="29"/>
      <c r="D595" s="29"/>
      <c r="E595" s="58">
        <f t="shared" si="17"/>
        <v>55273.661230380974</v>
      </c>
    </row>
    <row r="596" spans="1:5" ht="12.75">
      <c r="A596" s="1">
        <v>0.5670000000000001</v>
      </c>
      <c r="B596" s="29">
        <f t="shared" si="16"/>
        <v>49.1562567857158</v>
      </c>
      <c r="C596" s="29"/>
      <c r="D596" s="29"/>
      <c r="E596" s="58">
        <f t="shared" si="17"/>
        <v>55274.8475972866</v>
      </c>
    </row>
    <row r="597" spans="1:5" ht="12.75">
      <c r="A597" s="1">
        <v>0.5680000000000001</v>
      </c>
      <c r="B597" s="29">
        <f t="shared" si="16"/>
        <v>49.158611746227706</v>
      </c>
      <c r="C597" s="29"/>
      <c r="D597" s="29"/>
      <c r="E597" s="58">
        <f t="shared" si="17"/>
        <v>55276.03518598896</v>
      </c>
    </row>
    <row r="598" spans="1:5" ht="12.75">
      <c r="A598" s="1">
        <v>0.5690000000000001</v>
      </c>
      <c r="B598" s="29">
        <f t="shared" si="16"/>
        <v>49.160967733001975</v>
      </c>
      <c r="C598" s="29"/>
      <c r="D598" s="29"/>
      <c r="E598" s="58">
        <f t="shared" si="17"/>
        <v>55277.22400550193</v>
      </c>
    </row>
    <row r="599" spans="1:5" ht="12.75">
      <c r="A599" s="1">
        <v>0.57</v>
      </c>
      <c r="B599" s="29">
        <f t="shared" si="16"/>
        <v>49.16332476219741</v>
      </c>
      <c r="C599" s="29"/>
      <c r="D599" s="29"/>
      <c r="E599" s="58">
        <f t="shared" si="17"/>
        <v>55278.41406488313</v>
      </c>
    </row>
    <row r="600" spans="1:5" ht="12.75">
      <c r="A600" s="1">
        <v>0.5710000000000001</v>
      </c>
      <c r="B600" s="29">
        <f t="shared" si="16"/>
        <v>49.16568285002128</v>
      </c>
      <c r="C600" s="29"/>
      <c r="D600" s="29"/>
      <c r="E600" s="58">
        <f t="shared" si="17"/>
        <v>55279.60537323449</v>
      </c>
    </row>
    <row r="601" spans="1:5" ht="12.75">
      <c r="A601" s="1">
        <v>0.5720000000000001</v>
      </c>
      <c r="B601" s="29">
        <f t="shared" si="16"/>
        <v>49.16804201273017</v>
      </c>
      <c r="C601" s="29"/>
      <c r="D601" s="29"/>
      <c r="E601" s="58">
        <f t="shared" si="17"/>
        <v>55280.79793970278</v>
      </c>
    </row>
    <row r="602" spans="1:5" ht="12.75">
      <c r="A602" s="1">
        <v>0.5730000000000001</v>
      </c>
      <c r="B602" s="29">
        <f t="shared" si="16"/>
        <v>49.17040226663081</v>
      </c>
      <c r="C602" s="29"/>
      <c r="D602" s="29"/>
      <c r="E602" s="58">
        <f t="shared" si="17"/>
        <v>55281.991773480084</v>
      </c>
    </row>
    <row r="603" spans="1:5" ht="12.75">
      <c r="A603" s="1">
        <v>0.5740000000000001</v>
      </c>
      <c r="B603" s="29">
        <f t="shared" si="16"/>
        <v>49.17276362808096</v>
      </c>
      <c r="C603" s="29"/>
      <c r="D603" s="29"/>
      <c r="E603" s="58">
        <f t="shared" si="17"/>
        <v>55283.186883804374</v>
      </c>
    </row>
    <row r="604" spans="1:5" ht="12.75">
      <c r="A604" s="1">
        <v>0.575</v>
      </c>
      <c r="B604" s="29">
        <f t="shared" si="16"/>
        <v>49.1751261134902</v>
      </c>
      <c r="C604" s="29"/>
      <c r="D604" s="29"/>
      <c r="E604" s="58">
        <f t="shared" si="17"/>
        <v>55284.38327995999</v>
      </c>
    </row>
    <row r="605" spans="1:5" ht="12.75">
      <c r="A605" s="1">
        <v>0.5760000000000001</v>
      </c>
      <c r="B605" s="29">
        <f t="shared" si="16"/>
        <v>49.17748973932084</v>
      </c>
      <c r="C605" s="29"/>
      <c r="D605" s="29"/>
      <c r="E605" s="58">
        <f t="shared" si="17"/>
        <v>55285.580971278185</v>
      </c>
    </row>
    <row r="606" spans="1:5" ht="12.75">
      <c r="A606" s="1">
        <v>0.5770000000000001</v>
      </c>
      <c r="B606" s="29">
        <f t="shared" si="16"/>
        <v>49.179854522088775</v>
      </c>
      <c r="C606" s="29"/>
      <c r="D606" s="29"/>
      <c r="E606" s="58">
        <f t="shared" si="17"/>
        <v>55286.77996713773</v>
      </c>
    </row>
    <row r="607" spans="1:5" ht="12.75">
      <c r="A607" s="1">
        <v>0.578</v>
      </c>
      <c r="B607" s="29">
        <f aca="true" t="shared" si="18" ref="B607:B670">$C$6+NORMSINV($A607)*$C$11*$C$6</f>
        <v>49.18222047836433</v>
      </c>
      <c r="C607" s="29"/>
      <c r="D607" s="29"/>
      <c r="E607" s="58">
        <f aca="true" t="shared" si="19" ref="E607:E670">EPortfolio($C$5+1/252,$B607,$C$7,$C$8,$C$9,,$C$10,$H$7:$L$10,0)</f>
        <v>55287.98027696534</v>
      </c>
    </row>
    <row r="608" spans="1:5" ht="12.75">
      <c r="A608" s="1">
        <v>0.579</v>
      </c>
      <c r="B608" s="29">
        <f t="shared" si="18"/>
        <v>49.18458762477319</v>
      </c>
      <c r="C608" s="29"/>
      <c r="D608" s="29"/>
      <c r="E608" s="58">
        <f t="shared" si="19"/>
        <v>55289.18191023633</v>
      </c>
    </row>
    <row r="609" spans="1:5" ht="12.75">
      <c r="A609" s="1">
        <v>0.58</v>
      </c>
      <c r="B609" s="29">
        <f t="shared" si="18"/>
        <v>49.18695597799723</v>
      </c>
      <c r="C609" s="29"/>
      <c r="D609" s="29"/>
      <c r="E609" s="58">
        <f t="shared" si="19"/>
        <v>55290.38487647513</v>
      </c>
    </row>
    <row r="610" spans="1:5" ht="12.75">
      <c r="A610" s="1">
        <v>0.581</v>
      </c>
      <c r="B610" s="29">
        <f t="shared" si="18"/>
        <v>49.189325554775465</v>
      </c>
      <c r="C610" s="29"/>
      <c r="D610" s="29"/>
      <c r="E610" s="58">
        <f t="shared" si="19"/>
        <v>55291.589185255856</v>
      </c>
    </row>
    <row r="611" spans="1:5" ht="12.75">
      <c r="A611" s="1">
        <v>0.582</v>
      </c>
      <c r="B611" s="29">
        <f t="shared" si="18"/>
        <v>49.1916963719049</v>
      </c>
      <c r="C611" s="29"/>
      <c r="D611" s="29"/>
      <c r="E611" s="58">
        <f t="shared" si="19"/>
        <v>55292.79484620287</v>
      </c>
    </row>
    <row r="612" spans="1:5" ht="12.75">
      <c r="A612" s="1">
        <v>0.583</v>
      </c>
      <c r="B612" s="29">
        <f t="shared" si="18"/>
        <v>49.194068446241474</v>
      </c>
      <c r="C612" s="29"/>
      <c r="D612" s="29"/>
      <c r="E612" s="58">
        <f t="shared" si="19"/>
        <v>55294.00186899133</v>
      </c>
    </row>
    <row r="613" spans="1:5" ht="12.75">
      <c r="A613" s="1">
        <v>0.584</v>
      </c>
      <c r="B613" s="29">
        <f t="shared" si="18"/>
        <v>49.19644179470095</v>
      </c>
      <c r="C613" s="29"/>
      <c r="D613" s="29"/>
      <c r="E613" s="58">
        <f t="shared" si="19"/>
        <v>55295.210263347835</v>
      </c>
    </row>
    <row r="614" spans="1:5" ht="12.75">
      <c r="A614" s="1">
        <v>0.585</v>
      </c>
      <c r="B614" s="29">
        <f t="shared" si="18"/>
        <v>49.19881643425988</v>
      </c>
      <c r="C614" s="29"/>
      <c r="D614" s="29"/>
      <c r="E614" s="58">
        <f t="shared" si="19"/>
        <v>55296.42003905096</v>
      </c>
    </row>
    <row r="615" spans="1:5" ht="12.75">
      <c r="A615" s="1">
        <v>0.586</v>
      </c>
      <c r="B615" s="29">
        <f t="shared" si="18"/>
        <v>49.20119238195648</v>
      </c>
      <c r="C615" s="29"/>
      <c r="D615" s="29"/>
      <c r="E615" s="58">
        <f t="shared" si="19"/>
        <v>55297.63120593184</v>
      </c>
    </row>
    <row r="616" spans="1:5" ht="12.75">
      <c r="A616" s="1">
        <v>0.587</v>
      </c>
      <c r="B616" s="29">
        <f t="shared" si="18"/>
        <v>49.2035696548916</v>
      </c>
      <c r="C616" s="29"/>
      <c r="D616" s="29"/>
      <c r="E616" s="58">
        <f t="shared" si="19"/>
        <v>55298.84377387481</v>
      </c>
    </row>
    <row r="617" spans="1:5" ht="12.75">
      <c r="A617" s="1">
        <v>0.588</v>
      </c>
      <c r="B617" s="29">
        <f t="shared" si="18"/>
        <v>49.205948270229676</v>
      </c>
      <c r="C617" s="29"/>
      <c r="D617" s="29"/>
      <c r="E617" s="58">
        <f t="shared" si="19"/>
        <v>55300.057752817986</v>
      </c>
    </row>
    <row r="618" spans="1:5" ht="12.75">
      <c r="A618" s="1">
        <v>0.589</v>
      </c>
      <c r="B618" s="29">
        <f t="shared" si="18"/>
        <v>49.20832824519968</v>
      </c>
      <c r="C618" s="29"/>
      <c r="D618" s="29"/>
      <c r="E618" s="58">
        <f t="shared" si="19"/>
        <v>55301.273152753885</v>
      </c>
    </row>
    <row r="619" spans="1:5" ht="12.75">
      <c r="A619" s="1">
        <v>0.59</v>
      </c>
      <c r="B619" s="29">
        <f t="shared" si="18"/>
        <v>49.21070959709607</v>
      </c>
      <c r="C619" s="29"/>
      <c r="D619" s="29"/>
      <c r="E619" s="58">
        <f t="shared" si="19"/>
        <v>55302.48998373001</v>
      </c>
    </row>
    <row r="620" spans="1:5" ht="12.75">
      <c r="A620" s="1">
        <v>0.591</v>
      </c>
      <c r="B620" s="29">
        <f t="shared" si="18"/>
        <v>49.213092343279776</v>
      </c>
      <c r="C620" s="29"/>
      <c r="D620" s="29"/>
      <c r="E620" s="58">
        <f t="shared" si="19"/>
        <v>55303.70825584954</v>
      </c>
    </row>
    <row r="621" spans="1:5" ht="12.75">
      <c r="A621" s="1">
        <v>0.592</v>
      </c>
      <c r="B621" s="29">
        <f t="shared" si="18"/>
        <v>49.21547650117919</v>
      </c>
      <c r="C621" s="29"/>
      <c r="D621" s="29"/>
      <c r="E621" s="58">
        <f t="shared" si="19"/>
        <v>55304.92797927187</v>
      </c>
    </row>
    <row r="622" spans="1:5" ht="12.75">
      <c r="A622" s="1">
        <v>0.593</v>
      </c>
      <c r="B622" s="29">
        <f t="shared" si="18"/>
        <v>49.217862088291135</v>
      </c>
      <c r="C622" s="29"/>
      <c r="D622" s="29"/>
      <c r="E622" s="58">
        <f t="shared" si="19"/>
        <v>55306.14916421335</v>
      </c>
    </row>
    <row r="623" spans="1:5" ht="12.75">
      <c r="A623" s="1">
        <v>0.594</v>
      </c>
      <c r="B623" s="29">
        <f t="shared" si="18"/>
        <v>49.22024912218186</v>
      </c>
      <c r="C623" s="29"/>
      <c r="D623" s="29"/>
      <c r="E623" s="58">
        <f t="shared" si="19"/>
        <v>55307.371820947854</v>
      </c>
    </row>
    <row r="624" spans="1:5" ht="12.75">
      <c r="A624" s="1">
        <v>0.595</v>
      </c>
      <c r="B624" s="29">
        <f t="shared" si="18"/>
        <v>49.222637620488086</v>
      </c>
      <c r="C624" s="29"/>
      <c r="D624" s="29"/>
      <c r="E624" s="58">
        <f t="shared" si="19"/>
        <v>55308.59595980744</v>
      </c>
    </row>
    <row r="625" spans="1:5" ht="12.75">
      <c r="A625" s="1">
        <v>0.596</v>
      </c>
      <c r="B625" s="29">
        <f t="shared" si="18"/>
        <v>49.225027600917976</v>
      </c>
      <c r="C625" s="29"/>
      <c r="D625" s="29"/>
      <c r="E625" s="58">
        <f t="shared" si="19"/>
        <v>55309.82159118306</v>
      </c>
    </row>
    <row r="626" spans="1:5" ht="12.75">
      <c r="A626" s="1">
        <v>0.597</v>
      </c>
      <c r="B626" s="29">
        <f t="shared" si="18"/>
        <v>49.227419081252194</v>
      </c>
      <c r="C626" s="29"/>
      <c r="D626" s="29"/>
      <c r="E626" s="58">
        <f t="shared" si="19"/>
        <v>55311.04872552521</v>
      </c>
    </row>
    <row r="627" spans="1:5" ht="12.75">
      <c r="A627" s="1">
        <v>0.598</v>
      </c>
      <c r="B627" s="29">
        <f t="shared" si="18"/>
        <v>49.229812079344924</v>
      </c>
      <c r="C627" s="29"/>
      <c r="D627" s="29"/>
      <c r="E627" s="58">
        <f t="shared" si="19"/>
        <v>55312.27737334451</v>
      </c>
    </row>
    <row r="628" spans="1:5" ht="12.75">
      <c r="A628" s="1">
        <v>0.599</v>
      </c>
      <c r="B628" s="29">
        <f t="shared" si="18"/>
        <v>49.23220661312493</v>
      </c>
      <c r="C628" s="29"/>
      <c r="D628" s="29"/>
      <c r="E628" s="58">
        <f t="shared" si="19"/>
        <v>55313.5075452125</v>
      </c>
    </row>
    <row r="629" spans="1:5" ht="12.75">
      <c r="A629" s="1">
        <v>0.6</v>
      </c>
      <c r="B629" s="29">
        <f t="shared" si="18"/>
        <v>49.23460270059658</v>
      </c>
      <c r="C629" s="29"/>
      <c r="D629" s="29"/>
      <c r="E629" s="58">
        <f t="shared" si="19"/>
        <v>55314.73925176231</v>
      </c>
    </row>
    <row r="630" spans="1:5" ht="12.75">
      <c r="A630" s="1">
        <v>0.601</v>
      </c>
      <c r="B630" s="29">
        <f t="shared" si="18"/>
        <v>49.23700035984098</v>
      </c>
      <c r="C630" s="29"/>
      <c r="D630" s="29"/>
      <c r="E630" s="58">
        <f t="shared" si="19"/>
        <v>55315.97250368933</v>
      </c>
    </row>
    <row r="631" spans="1:5" ht="12.75">
      <c r="A631" s="1">
        <v>0.602</v>
      </c>
      <c r="B631" s="29">
        <f t="shared" si="18"/>
        <v>49.23939960901696</v>
      </c>
      <c r="C631" s="29"/>
      <c r="D631" s="29"/>
      <c r="E631" s="58">
        <f t="shared" si="19"/>
        <v>55317.207311751896</v>
      </c>
    </row>
    <row r="632" spans="1:5" ht="12.75">
      <c r="A632" s="1">
        <v>0.603</v>
      </c>
      <c r="B632" s="29">
        <f t="shared" si="18"/>
        <v>49.24180046636222</v>
      </c>
      <c r="C632" s="29"/>
      <c r="D632" s="29"/>
      <c r="E632" s="58">
        <f t="shared" si="19"/>
        <v>55318.44368677204</v>
      </c>
    </row>
    <row r="633" spans="1:5" ht="12.75">
      <c r="A633" s="1">
        <v>0.604</v>
      </c>
      <c r="B633" s="29">
        <f t="shared" si="18"/>
        <v>49.24420295019443</v>
      </c>
      <c r="C633" s="29"/>
      <c r="D633" s="29"/>
      <c r="E633" s="58">
        <f t="shared" si="19"/>
        <v>55319.68163963619</v>
      </c>
    </row>
    <row r="634" spans="1:5" ht="12.75">
      <c r="A634" s="1">
        <v>0.605</v>
      </c>
      <c r="B634" s="29">
        <f t="shared" si="18"/>
        <v>49.246607078912305</v>
      </c>
      <c r="C634" s="29"/>
      <c r="D634" s="29"/>
      <c r="E634" s="58">
        <f t="shared" si="19"/>
        <v>55320.921181295926</v>
      </c>
    </row>
    <row r="635" spans="1:5" ht="12.75">
      <c r="A635" s="1">
        <v>0.606</v>
      </c>
      <c r="B635" s="29">
        <f t="shared" si="18"/>
        <v>49.249012870996744</v>
      </c>
      <c r="C635" s="29"/>
      <c r="D635" s="29"/>
      <c r="E635" s="58">
        <f t="shared" si="19"/>
        <v>55322.162322768665</v>
      </c>
    </row>
    <row r="636" spans="1:5" ht="12.75">
      <c r="A636" s="1">
        <v>0.607</v>
      </c>
      <c r="B636" s="29">
        <f t="shared" si="18"/>
        <v>49.25142034501196</v>
      </c>
      <c r="C636" s="29"/>
      <c r="D636" s="29"/>
      <c r="E636" s="58">
        <f t="shared" si="19"/>
        <v>55323.40507513847</v>
      </c>
    </row>
    <row r="637" spans="1:5" ht="12.75">
      <c r="A637" s="1">
        <v>0.608</v>
      </c>
      <c r="B637" s="29">
        <f t="shared" si="18"/>
        <v>49.25382951960662</v>
      </c>
      <c r="C637" s="29"/>
      <c r="D637" s="29"/>
      <c r="E637" s="58">
        <f t="shared" si="19"/>
        <v>55324.64944955673</v>
      </c>
    </row>
    <row r="638" spans="1:5" ht="12.75">
      <c r="A638" s="1">
        <v>0.609</v>
      </c>
      <c r="B638" s="29">
        <f t="shared" si="18"/>
        <v>49.256240413514995</v>
      </c>
      <c r="C638" s="29"/>
      <c r="D638" s="29"/>
      <c r="E638" s="58">
        <f t="shared" si="19"/>
        <v>55325.895457243</v>
      </c>
    </row>
    <row r="639" spans="1:5" ht="12.75">
      <c r="A639" s="1">
        <v>0.61</v>
      </c>
      <c r="B639" s="29">
        <f t="shared" si="18"/>
        <v>49.25865304555813</v>
      </c>
      <c r="C639" s="29"/>
      <c r="D639" s="29"/>
      <c r="E639" s="58">
        <f t="shared" si="19"/>
        <v>55327.14310948574</v>
      </c>
    </row>
    <row r="640" spans="1:5" ht="12.75">
      <c r="A640" s="1">
        <v>0.611</v>
      </c>
      <c r="B640" s="29">
        <f t="shared" si="18"/>
        <v>49.26106743464501</v>
      </c>
      <c r="C640" s="29"/>
      <c r="D640" s="29"/>
      <c r="E640" s="58">
        <f t="shared" si="19"/>
        <v>55328.39241764307</v>
      </c>
    </row>
    <row r="641" spans="1:5" ht="12.75">
      <c r="A641" s="1">
        <v>0.612</v>
      </c>
      <c r="B641" s="29">
        <f t="shared" si="18"/>
        <v>49.26348359977377</v>
      </c>
      <c r="C641" s="29"/>
      <c r="D641" s="29"/>
      <c r="E641" s="58">
        <f t="shared" si="19"/>
        <v>55329.64339314359</v>
      </c>
    </row>
    <row r="642" spans="1:5" ht="12.75">
      <c r="A642" s="1">
        <v>0.613</v>
      </c>
      <c r="B642" s="29">
        <f t="shared" si="18"/>
        <v>49.26590156003289</v>
      </c>
      <c r="C642" s="29"/>
      <c r="D642" s="29"/>
      <c r="E642" s="58">
        <f t="shared" si="19"/>
        <v>55330.89604748719</v>
      </c>
    </row>
    <row r="643" spans="1:5" ht="12.75">
      <c r="A643" s="1">
        <v>0.614</v>
      </c>
      <c r="B643" s="29">
        <f t="shared" si="18"/>
        <v>49.268321334602376</v>
      </c>
      <c r="C643" s="29"/>
      <c r="D643" s="29"/>
      <c r="E643" s="58">
        <f t="shared" si="19"/>
        <v>55332.15039224582</v>
      </c>
    </row>
    <row r="644" spans="1:5" ht="12.75">
      <c r="A644" s="1">
        <v>0.615</v>
      </c>
      <c r="B644" s="29">
        <f t="shared" si="18"/>
        <v>49.27074294275506</v>
      </c>
      <c r="C644" s="29"/>
      <c r="D644" s="29"/>
      <c r="E644" s="58">
        <f t="shared" si="19"/>
        <v>55333.40643906435</v>
      </c>
    </row>
    <row r="645" spans="1:5" ht="12.75">
      <c r="A645" s="1">
        <v>0.616</v>
      </c>
      <c r="B645" s="29">
        <f t="shared" si="18"/>
        <v>49.27316640385775</v>
      </c>
      <c r="C645" s="29"/>
      <c r="D645" s="29"/>
      <c r="E645" s="58">
        <f t="shared" si="19"/>
        <v>55334.66419966133</v>
      </c>
    </row>
    <row r="646" spans="1:5" ht="12.75">
      <c r="A646" s="1">
        <v>0.617</v>
      </c>
      <c r="B646" s="29">
        <f t="shared" si="18"/>
        <v>49.275591737372565</v>
      </c>
      <c r="C646" s="29"/>
      <c r="D646" s="29"/>
      <c r="E646" s="58">
        <f t="shared" si="19"/>
        <v>55335.92368582994</v>
      </c>
    </row>
    <row r="647" spans="1:5" ht="12.75">
      <c r="A647" s="1">
        <v>0.618</v>
      </c>
      <c r="B647" s="29">
        <f t="shared" si="18"/>
        <v>49.27801896285815</v>
      </c>
      <c r="C647" s="29"/>
      <c r="D647" s="29"/>
      <c r="E647" s="58">
        <f t="shared" si="19"/>
        <v>55337.184909438765</v>
      </c>
    </row>
    <row r="648" spans="1:5" ht="12.75">
      <c r="A648" s="1">
        <v>0.619</v>
      </c>
      <c r="B648" s="29">
        <f t="shared" si="18"/>
        <v>49.28044809997098</v>
      </c>
      <c r="C648" s="29"/>
      <c r="D648" s="29"/>
      <c r="E648" s="58">
        <f t="shared" si="19"/>
        <v>55338.44788243263</v>
      </c>
    </row>
    <row r="649" spans="1:5" ht="12.75">
      <c r="A649" s="1">
        <v>0.62</v>
      </c>
      <c r="B649" s="29">
        <f t="shared" si="18"/>
        <v>49.28287916846666</v>
      </c>
      <c r="C649" s="29"/>
      <c r="D649" s="29"/>
      <c r="E649" s="58">
        <f t="shared" si="19"/>
        <v>55339.71261683352</v>
      </c>
    </row>
    <row r="650" spans="1:5" ht="12.75">
      <c r="A650" s="1">
        <v>0.621</v>
      </c>
      <c r="B650" s="29">
        <f t="shared" si="18"/>
        <v>49.285312188201196</v>
      </c>
      <c r="C650" s="29"/>
      <c r="D650" s="29"/>
      <c r="E650" s="58">
        <f t="shared" si="19"/>
        <v>55340.97912474145</v>
      </c>
    </row>
    <row r="651" spans="1:5" ht="12.75">
      <c r="A651" s="1">
        <v>0.622</v>
      </c>
      <c r="B651" s="29">
        <f t="shared" si="18"/>
        <v>49.28774717913237</v>
      </c>
      <c r="C651" s="29"/>
      <c r="D651" s="29"/>
      <c r="E651" s="58">
        <f t="shared" si="19"/>
        <v>55342.247418335355</v>
      </c>
    </row>
    <row r="652" spans="1:5" ht="12.75">
      <c r="A652" s="1">
        <v>0.623</v>
      </c>
      <c r="B652" s="29">
        <f t="shared" si="18"/>
        <v>49.290184161321044</v>
      </c>
      <c r="C652" s="29"/>
      <c r="D652" s="29"/>
      <c r="E652" s="58">
        <f t="shared" si="19"/>
        <v>55343.517509873964</v>
      </c>
    </row>
    <row r="653" spans="1:5" ht="12.75">
      <c r="A653" s="1">
        <v>0.624</v>
      </c>
      <c r="B653" s="29">
        <f t="shared" si="18"/>
        <v>49.29262315493252</v>
      </c>
      <c r="C653" s="29"/>
      <c r="D653" s="29"/>
      <c r="E653" s="58">
        <f t="shared" si="19"/>
        <v>55344.78941169675</v>
      </c>
    </row>
    <row r="654" spans="1:5" ht="12.75">
      <c r="A654" s="1">
        <v>0.625</v>
      </c>
      <c r="B654" s="29">
        <f t="shared" si="18"/>
        <v>49.29506418023794</v>
      </c>
      <c r="C654" s="29"/>
      <c r="D654" s="29"/>
      <c r="E654" s="58">
        <f t="shared" si="19"/>
        <v>55346.06313622483</v>
      </c>
    </row>
    <row r="655" spans="1:5" ht="12.75">
      <c r="A655" s="1">
        <v>0.626</v>
      </c>
      <c r="B655" s="29">
        <f t="shared" si="18"/>
        <v>49.29750725761559</v>
      </c>
      <c r="C655" s="29"/>
      <c r="D655" s="29"/>
      <c r="E655" s="58">
        <f t="shared" si="19"/>
        <v>55347.33869596191</v>
      </c>
    </row>
    <row r="656" spans="1:5" ht="12.75">
      <c r="A656" s="1">
        <v>0.627</v>
      </c>
      <c r="B656" s="29">
        <f t="shared" si="18"/>
        <v>49.29995240755241</v>
      </c>
      <c r="C656" s="29"/>
      <c r="D656" s="29"/>
      <c r="E656" s="58">
        <f t="shared" si="19"/>
        <v>55348.616103495246</v>
      </c>
    </row>
    <row r="657" spans="1:5" ht="12.75">
      <c r="A657" s="1">
        <v>0.628</v>
      </c>
      <c r="B657" s="29">
        <f t="shared" si="18"/>
        <v>49.30239965064531</v>
      </c>
      <c r="C657" s="29"/>
      <c r="D657" s="29"/>
      <c r="E657" s="58">
        <f t="shared" si="19"/>
        <v>55349.895371496576</v>
      </c>
    </row>
    <row r="658" spans="1:5" ht="12.75">
      <c r="A658" s="1">
        <v>0.629</v>
      </c>
      <c r="B658" s="29">
        <f t="shared" si="18"/>
        <v>49.30484900760267</v>
      </c>
      <c r="C658" s="29"/>
      <c r="D658" s="29"/>
      <c r="E658" s="58">
        <f t="shared" si="19"/>
        <v>55351.17651272309</v>
      </c>
    </row>
    <row r="659" spans="1:5" ht="12.75">
      <c r="A659" s="1">
        <v>0.63</v>
      </c>
      <c r="B659" s="29">
        <f t="shared" si="18"/>
        <v>49.307300499245734</v>
      </c>
      <c r="C659" s="29"/>
      <c r="D659" s="29"/>
      <c r="E659" s="58">
        <f t="shared" si="19"/>
        <v>55352.45954001845</v>
      </c>
    </row>
    <row r="660" spans="1:5" ht="12.75">
      <c r="A660" s="1">
        <v>0.631</v>
      </c>
      <c r="B660" s="29">
        <f t="shared" si="18"/>
        <v>49.30975414651013</v>
      </c>
      <c r="C660" s="29"/>
      <c r="D660" s="29"/>
      <c r="E660" s="58">
        <f t="shared" si="19"/>
        <v>55353.74446631376</v>
      </c>
    </row>
    <row r="661" spans="1:5" ht="12.75">
      <c r="A661" s="1">
        <v>0.632</v>
      </c>
      <c r="B661" s="29">
        <f t="shared" si="18"/>
        <v>49.31220997044732</v>
      </c>
      <c r="C661" s="29"/>
      <c r="D661" s="29"/>
      <c r="E661" s="58">
        <f t="shared" si="19"/>
        <v>55355.031304628574</v>
      </c>
    </row>
    <row r="662" spans="1:5" ht="12.75">
      <c r="A662" s="1">
        <v>0.633</v>
      </c>
      <c r="B662" s="29">
        <f t="shared" si="18"/>
        <v>49.3146679922261</v>
      </c>
      <c r="C662" s="29"/>
      <c r="D662" s="29"/>
      <c r="E662" s="58">
        <f t="shared" si="19"/>
        <v>55356.320068071895</v>
      </c>
    </row>
    <row r="663" spans="1:5" ht="12.75">
      <c r="A663" s="1">
        <v>0.634</v>
      </c>
      <c r="B663" s="29">
        <f t="shared" si="18"/>
        <v>49.31712823313413</v>
      </c>
      <c r="C663" s="29"/>
      <c r="D663" s="29"/>
      <c r="E663" s="58">
        <f t="shared" si="19"/>
        <v>55357.6107698433</v>
      </c>
    </row>
    <row r="664" spans="1:5" ht="12.75">
      <c r="A664" s="1">
        <v>0.635</v>
      </c>
      <c r="B664" s="29">
        <f t="shared" si="18"/>
        <v>49.319590714579455</v>
      </c>
      <c r="C664" s="29"/>
      <c r="D664" s="29"/>
      <c r="E664" s="58">
        <f t="shared" si="19"/>
        <v>55358.90342323386</v>
      </c>
    </row>
    <row r="665" spans="1:5" ht="12.75">
      <c r="A665" s="1">
        <v>0.636</v>
      </c>
      <c r="B665" s="29">
        <f t="shared" si="18"/>
        <v>49.32205545809208</v>
      </c>
      <c r="C665" s="29"/>
      <c r="D665" s="29"/>
      <c r="E665" s="58">
        <f t="shared" si="19"/>
        <v>55360.1980416273</v>
      </c>
    </row>
    <row r="666" spans="1:5" ht="12.75">
      <c r="A666" s="1">
        <v>0.637</v>
      </c>
      <c r="B666" s="29">
        <f t="shared" si="18"/>
        <v>49.32452248532554</v>
      </c>
      <c r="C666" s="29"/>
      <c r="D666" s="29"/>
      <c r="E666" s="58">
        <f t="shared" si="19"/>
        <v>55361.49463850105</v>
      </c>
    </row>
    <row r="667" spans="1:5" ht="12.75">
      <c r="A667" s="1">
        <v>0.638</v>
      </c>
      <c r="B667" s="29">
        <f t="shared" si="18"/>
        <v>49.32699181805845</v>
      </c>
      <c r="C667" s="29"/>
      <c r="D667" s="29"/>
      <c r="E667" s="58">
        <f t="shared" si="19"/>
        <v>55362.793227427275</v>
      </c>
    </row>
    <row r="668" spans="1:5" ht="12.75">
      <c r="A668" s="1">
        <v>0.639</v>
      </c>
      <c r="B668" s="29">
        <f t="shared" si="18"/>
        <v>49.32946347819618</v>
      </c>
      <c r="C668" s="29"/>
      <c r="D668" s="29"/>
      <c r="E668" s="58">
        <f t="shared" si="19"/>
        <v>55364.09382207411</v>
      </c>
    </row>
    <row r="669" spans="1:5" ht="12.75">
      <c r="A669" s="1">
        <v>0.64</v>
      </c>
      <c r="B669" s="29">
        <f t="shared" si="18"/>
        <v>49.33193748777244</v>
      </c>
      <c r="C669" s="29"/>
      <c r="D669" s="29"/>
      <c r="E669" s="58">
        <f t="shared" si="19"/>
        <v>55365.39643620659</v>
      </c>
    </row>
    <row r="670" spans="1:5" ht="12.75">
      <c r="A670" s="1">
        <v>0.641</v>
      </c>
      <c r="B670" s="29">
        <f t="shared" si="18"/>
        <v>49.33441386895095</v>
      </c>
      <c r="C670" s="29"/>
      <c r="D670" s="29"/>
      <c r="E670" s="58">
        <f t="shared" si="19"/>
        <v>55366.701083688</v>
      </c>
    </row>
    <row r="671" spans="1:5" ht="12.75">
      <c r="A671" s="1">
        <v>0.642</v>
      </c>
      <c r="B671" s="29">
        <f aca="true" t="shared" si="20" ref="B671:B734">$C$6+NORMSINV($A671)*$C$11*$C$6</f>
        <v>49.33689264402712</v>
      </c>
      <c r="C671" s="29"/>
      <c r="D671" s="29"/>
      <c r="E671" s="58">
        <f aca="true" t="shared" si="21" ref="E671:E734">EPortfolio($C$5+1/252,$B671,$C$7,$C$8,$C$9,,$C$10,$H$7:$L$10,0)</f>
        <v>55368.00777848084</v>
      </c>
    </row>
    <row r="672" spans="1:5" ht="12.75">
      <c r="A672" s="1">
        <v>0.643</v>
      </c>
      <c r="B672" s="29">
        <f t="shared" si="20"/>
        <v>49.33937383542969</v>
      </c>
      <c r="C672" s="29"/>
      <c r="D672" s="29"/>
      <c r="E672" s="58">
        <f t="shared" si="21"/>
        <v>55369.31653464808</v>
      </c>
    </row>
    <row r="673" spans="1:5" ht="12.75">
      <c r="A673" s="1">
        <v>0.644</v>
      </c>
      <c r="B673" s="29">
        <f t="shared" si="20"/>
        <v>49.34185746572252</v>
      </c>
      <c r="C673" s="29"/>
      <c r="D673" s="29"/>
      <c r="E673" s="58">
        <f t="shared" si="21"/>
        <v>55370.62736635434</v>
      </c>
    </row>
    <row r="674" spans="1:5" ht="12.75">
      <c r="A674" s="1">
        <v>0.645</v>
      </c>
      <c r="B674" s="29">
        <f t="shared" si="20"/>
        <v>49.34434355760627</v>
      </c>
      <c r="C674" s="29"/>
      <c r="D674" s="29"/>
      <c r="E674" s="58">
        <f t="shared" si="21"/>
        <v>55371.94028786703</v>
      </c>
    </row>
    <row r="675" spans="1:5" ht="12.75">
      <c r="A675" s="1">
        <v>0.646</v>
      </c>
      <c r="B675" s="29">
        <f t="shared" si="20"/>
        <v>49.346832133920174</v>
      </c>
      <c r="C675" s="29"/>
      <c r="D675" s="29"/>
      <c r="E675" s="58">
        <f t="shared" si="21"/>
        <v>55373.255313557645</v>
      </c>
    </row>
    <row r="676" spans="1:5" ht="12.75">
      <c r="A676" s="1">
        <v>0.647</v>
      </c>
      <c r="B676" s="29">
        <f t="shared" si="20"/>
        <v>49.34932321764382</v>
      </c>
      <c r="C676" s="29"/>
      <c r="D676" s="29"/>
      <c r="E676" s="58">
        <f t="shared" si="21"/>
        <v>55374.57245790287</v>
      </c>
    </row>
    <row r="677" spans="1:5" ht="12.75">
      <c r="A677" s="1">
        <v>0.648</v>
      </c>
      <c r="B677" s="29">
        <f t="shared" si="20"/>
        <v>49.35181683189894</v>
      </c>
      <c r="C677" s="29"/>
      <c r="D677" s="29"/>
      <c r="E677" s="58">
        <f t="shared" si="21"/>
        <v>55375.89173548596</v>
      </c>
    </row>
    <row r="678" spans="1:5" ht="12.75">
      <c r="A678" s="1">
        <v>0.649</v>
      </c>
      <c r="B678" s="29">
        <f t="shared" si="20"/>
        <v>49.35431299995123</v>
      </c>
      <c r="C678" s="29"/>
      <c r="D678" s="29"/>
      <c r="E678" s="58">
        <f t="shared" si="21"/>
        <v>55377.21316099788</v>
      </c>
    </row>
    <row r="679" spans="1:5" ht="12.75">
      <c r="A679" s="1">
        <v>0.65</v>
      </c>
      <c r="B679" s="29">
        <f t="shared" si="20"/>
        <v>49.35681174521225</v>
      </c>
      <c r="C679" s="29"/>
      <c r="D679" s="29"/>
      <c r="E679" s="58">
        <f t="shared" si="21"/>
        <v>55378.53674923871</v>
      </c>
    </row>
    <row r="680" spans="1:5" ht="12.75">
      <c r="A680" s="1">
        <v>0.651</v>
      </c>
      <c r="B680" s="29">
        <f t="shared" si="20"/>
        <v>49.35931309124119</v>
      </c>
      <c r="C680" s="29"/>
      <c r="D680" s="29"/>
      <c r="E680" s="58">
        <f t="shared" si="21"/>
        <v>55379.86251511877</v>
      </c>
    </row>
    <row r="681" spans="1:5" ht="12.75">
      <c r="A681" s="1">
        <v>0.652</v>
      </c>
      <c r="B681" s="29">
        <f t="shared" si="20"/>
        <v>49.361817061746876</v>
      </c>
      <c r="C681" s="29"/>
      <c r="D681" s="29"/>
      <c r="E681" s="58">
        <f t="shared" si="21"/>
        <v>55381.19047366013</v>
      </c>
    </row>
    <row r="682" spans="1:5" ht="12.75">
      <c r="A682" s="1">
        <v>0.653</v>
      </c>
      <c r="B682" s="29">
        <f t="shared" si="20"/>
        <v>49.36432368058962</v>
      </c>
      <c r="C682" s="29"/>
      <c r="D682" s="29"/>
      <c r="E682" s="58">
        <f t="shared" si="21"/>
        <v>55382.52063999775</v>
      </c>
    </row>
    <row r="683" spans="1:5" ht="12.75">
      <c r="A683" s="1">
        <v>0.654</v>
      </c>
      <c r="B683" s="29">
        <f t="shared" si="20"/>
        <v>49.3668329717832</v>
      </c>
      <c r="C683" s="29"/>
      <c r="D683" s="29"/>
      <c r="E683" s="58">
        <f t="shared" si="21"/>
        <v>55383.853029380974</v>
      </c>
    </row>
    <row r="684" spans="1:5" ht="12.75">
      <c r="A684" s="1">
        <v>0.655</v>
      </c>
      <c r="B684" s="29">
        <f t="shared" si="20"/>
        <v>49.369344959496786</v>
      </c>
      <c r="C684" s="29"/>
      <c r="D684" s="29"/>
      <c r="E684" s="58">
        <f t="shared" si="21"/>
        <v>55385.18765717484</v>
      </c>
    </row>
    <row r="685" spans="1:5" ht="12.75">
      <c r="A685" s="1">
        <v>0.656</v>
      </c>
      <c r="B685" s="29">
        <f t="shared" si="20"/>
        <v>49.371859668057006</v>
      </c>
      <c r="C685" s="29"/>
      <c r="D685" s="29"/>
      <c r="E685" s="58">
        <f t="shared" si="21"/>
        <v>55386.52453886145</v>
      </c>
    </row>
    <row r="686" spans="1:5" ht="12.75">
      <c r="A686" s="1">
        <v>0.657</v>
      </c>
      <c r="B686" s="29">
        <f t="shared" si="20"/>
        <v>49.37437712194989</v>
      </c>
      <c r="C686" s="29"/>
      <c r="D686" s="29"/>
      <c r="E686" s="58">
        <f t="shared" si="21"/>
        <v>55387.8636900414</v>
      </c>
    </row>
    <row r="687" spans="1:5" ht="12.75">
      <c r="A687" s="1">
        <v>0.658</v>
      </c>
      <c r="B687" s="29">
        <f t="shared" si="20"/>
        <v>49.37689734582299</v>
      </c>
      <c r="C687" s="29"/>
      <c r="D687" s="29"/>
      <c r="E687" s="58">
        <f t="shared" si="21"/>
        <v>55389.20512643521</v>
      </c>
    </row>
    <row r="688" spans="1:5" ht="12.75">
      <c r="A688" s="1">
        <v>0.659</v>
      </c>
      <c r="B688" s="29">
        <f t="shared" si="20"/>
        <v>49.3794203644874</v>
      </c>
      <c r="C688" s="29"/>
      <c r="D688" s="29"/>
      <c r="E688" s="58">
        <f t="shared" si="21"/>
        <v>55390.54886388476</v>
      </c>
    </row>
    <row r="689" spans="1:5" ht="12.75">
      <c r="A689" s="1">
        <v>0.66</v>
      </c>
      <c r="B689" s="29">
        <f t="shared" si="20"/>
        <v>49.38194620291989</v>
      </c>
      <c r="C689" s="29"/>
      <c r="D689" s="29"/>
      <c r="E689" s="58">
        <f t="shared" si="21"/>
        <v>55391.89491835472</v>
      </c>
    </row>
    <row r="690" spans="1:5" ht="12.75">
      <c r="A690" s="1">
        <v>0.661</v>
      </c>
      <c r="B690" s="29">
        <f t="shared" si="20"/>
        <v>49.38447488626504</v>
      </c>
      <c r="C690" s="29"/>
      <c r="D690" s="29"/>
      <c r="E690" s="58">
        <f t="shared" si="21"/>
        <v>55393.24330593412</v>
      </c>
    </row>
    <row r="691" spans="1:5" ht="12.75">
      <c r="A691" s="1">
        <v>0.662</v>
      </c>
      <c r="B691" s="29">
        <f t="shared" si="20"/>
        <v>49.38700643983739</v>
      </c>
      <c r="C691" s="29"/>
      <c r="D691" s="29"/>
      <c r="E691" s="58">
        <f t="shared" si="21"/>
        <v>55394.5940428378</v>
      </c>
    </row>
    <row r="692" spans="1:5" ht="12.75">
      <c r="A692" s="1">
        <v>0.663</v>
      </c>
      <c r="B692" s="29">
        <f t="shared" si="20"/>
        <v>49.38954088912365</v>
      </c>
      <c r="C692" s="29"/>
      <c r="D692" s="29"/>
      <c r="E692" s="58">
        <f t="shared" si="21"/>
        <v>55395.94714540793</v>
      </c>
    </row>
    <row r="693" spans="1:5" ht="12.75">
      <c r="A693" s="1">
        <v>0.664</v>
      </c>
      <c r="B693" s="29">
        <f t="shared" si="20"/>
        <v>49.392078259784874</v>
      </c>
      <c r="C693" s="29"/>
      <c r="D693" s="29"/>
      <c r="E693" s="58">
        <f t="shared" si="21"/>
        <v>55397.30263011562</v>
      </c>
    </row>
    <row r="694" spans="1:5" ht="12.75">
      <c r="A694" s="1">
        <v>0.665</v>
      </c>
      <c r="B694" s="29">
        <f t="shared" si="20"/>
        <v>49.39461857765877</v>
      </c>
      <c r="C694" s="29"/>
      <c r="D694" s="29"/>
      <c r="E694" s="58">
        <f t="shared" si="21"/>
        <v>55398.660513562405</v>
      </c>
    </row>
    <row r="695" spans="1:5" ht="12.75">
      <c r="A695" s="1">
        <v>0.666</v>
      </c>
      <c r="B695" s="29">
        <f t="shared" si="20"/>
        <v>49.39716186876195</v>
      </c>
      <c r="C695" s="29"/>
      <c r="D695" s="29"/>
      <c r="E695" s="58">
        <f t="shared" si="21"/>
        <v>55400.02081248192</v>
      </c>
    </row>
    <row r="696" spans="1:5" ht="12.75">
      <c r="A696" s="1">
        <v>0.667</v>
      </c>
      <c r="B696" s="29">
        <f t="shared" si="20"/>
        <v>49.39970815929225</v>
      </c>
      <c r="C696" s="29"/>
      <c r="D696" s="29"/>
      <c r="E696" s="58">
        <f t="shared" si="21"/>
        <v>55401.3835437415</v>
      </c>
    </row>
    <row r="697" spans="1:5" ht="12.75">
      <c r="A697" s="1">
        <v>0.668</v>
      </c>
      <c r="B697" s="29">
        <f t="shared" si="20"/>
        <v>49.40225747563108</v>
      </c>
      <c r="C697" s="29"/>
      <c r="D697" s="29"/>
      <c r="E697" s="58">
        <f t="shared" si="21"/>
        <v>55402.74872434378</v>
      </c>
    </row>
    <row r="698" spans="1:5" ht="12.75">
      <c r="A698" s="1">
        <v>0.669</v>
      </c>
      <c r="B698" s="29">
        <f t="shared" si="20"/>
        <v>49.404809844345785</v>
      </c>
      <c r="C698" s="29"/>
      <c r="D698" s="29"/>
      <c r="E698" s="58">
        <f t="shared" si="21"/>
        <v>55404.11637142843</v>
      </c>
    </row>
    <row r="699" spans="1:5" ht="12.75">
      <c r="A699" s="1">
        <v>0.67</v>
      </c>
      <c r="B699" s="29">
        <f t="shared" si="20"/>
        <v>49.40736529219209</v>
      </c>
      <c r="C699" s="29"/>
      <c r="D699" s="29"/>
      <c r="E699" s="58">
        <f t="shared" si="21"/>
        <v>55405.48650227379</v>
      </c>
    </row>
    <row r="700" spans="1:5" ht="12.75">
      <c r="A700" s="1">
        <v>0.671</v>
      </c>
      <c r="B700" s="29">
        <f t="shared" si="20"/>
        <v>49.4099238461165</v>
      </c>
      <c r="C700" s="29"/>
      <c r="D700" s="29"/>
      <c r="E700" s="58">
        <f t="shared" si="21"/>
        <v>55406.859134298604</v>
      </c>
    </row>
    <row r="701" spans="1:5" ht="12.75">
      <c r="A701" s="1">
        <v>0.672</v>
      </c>
      <c r="B701" s="29">
        <f t="shared" si="20"/>
        <v>49.412485533258824</v>
      </c>
      <c r="C701" s="29"/>
      <c r="D701" s="29"/>
      <c r="E701" s="58">
        <f t="shared" si="21"/>
        <v>55408.23428506378</v>
      </c>
    </row>
    <row r="702" spans="1:5" ht="12.75">
      <c r="A702" s="1">
        <v>0.673</v>
      </c>
      <c r="B702" s="29">
        <f t="shared" si="20"/>
        <v>49.415050380954675</v>
      </c>
      <c r="C702" s="29"/>
      <c r="D702" s="29"/>
      <c r="E702" s="58">
        <f t="shared" si="21"/>
        <v>55409.61197227413</v>
      </c>
    </row>
    <row r="703" spans="1:5" ht="12.75">
      <c r="A703" s="1">
        <v>0.674</v>
      </c>
      <c r="B703" s="29">
        <f t="shared" si="20"/>
        <v>49.41761841673801</v>
      </c>
      <c r="C703" s="29"/>
      <c r="D703" s="29"/>
      <c r="E703" s="58">
        <f t="shared" si="21"/>
        <v>55410.992213780155</v>
      </c>
    </row>
    <row r="704" spans="1:5" ht="12.75">
      <c r="A704" s="1">
        <v>0.675</v>
      </c>
      <c r="B704" s="29">
        <f t="shared" si="20"/>
        <v>49.420189668343724</v>
      </c>
      <c r="C704" s="29"/>
      <c r="D704" s="29"/>
      <c r="E704" s="58">
        <f t="shared" si="21"/>
        <v>55412.375027579925</v>
      </c>
    </row>
    <row r="705" spans="1:5" ht="12.75">
      <c r="A705" s="1">
        <v>0.676</v>
      </c>
      <c r="B705" s="29">
        <f t="shared" si="20"/>
        <v>49.42276416371028</v>
      </c>
      <c r="C705" s="29"/>
      <c r="D705" s="29"/>
      <c r="E705" s="58">
        <f t="shared" si="21"/>
        <v>55413.76043182084</v>
      </c>
    </row>
    <row r="706" spans="1:5" ht="12.75">
      <c r="A706" s="1">
        <v>0.677</v>
      </c>
      <c r="B706" s="29">
        <f t="shared" si="20"/>
        <v>49.42534193098238</v>
      </c>
      <c r="C706" s="29"/>
      <c r="D706" s="29"/>
      <c r="E706" s="58">
        <f t="shared" si="21"/>
        <v>55415.14844480155</v>
      </c>
    </row>
    <row r="707" spans="1:5" ht="12.75">
      <c r="A707" s="1">
        <v>0.678</v>
      </c>
      <c r="B707" s="29">
        <f t="shared" si="20"/>
        <v>49.42792299851363</v>
      </c>
      <c r="C707" s="29"/>
      <c r="D707" s="29"/>
      <c r="E707" s="58">
        <f t="shared" si="21"/>
        <v>55416.53908497386</v>
      </c>
    </row>
    <row r="708" spans="1:5" ht="12.75">
      <c r="A708" s="1">
        <v>0.679</v>
      </c>
      <c r="B708" s="29">
        <f t="shared" si="20"/>
        <v>49.43050739486932</v>
      </c>
      <c r="C708" s="29"/>
      <c r="D708" s="29"/>
      <c r="E708" s="58">
        <f t="shared" si="21"/>
        <v>55417.932370944705</v>
      </c>
    </row>
    <row r="709" spans="1:5" ht="12.75">
      <c r="A709" s="1">
        <v>0.68</v>
      </c>
      <c r="B709" s="29">
        <f t="shared" si="20"/>
        <v>49.43309514882919</v>
      </c>
      <c r="C709" s="29"/>
      <c r="D709" s="29"/>
      <c r="E709" s="58">
        <f t="shared" si="21"/>
        <v>55419.32832147795</v>
      </c>
    </row>
    <row r="710" spans="1:5" ht="12.75">
      <c r="A710" s="1">
        <v>0.681</v>
      </c>
      <c r="B710" s="29">
        <f t="shared" si="20"/>
        <v>49.43568628939025</v>
      </c>
      <c r="C710" s="29"/>
      <c r="D710" s="29"/>
      <c r="E710" s="58">
        <f t="shared" si="21"/>
        <v>55420.7269554966</v>
      </c>
    </row>
    <row r="711" spans="1:5" ht="12.75">
      <c r="A711" s="1">
        <v>0.682</v>
      </c>
      <c r="B711" s="29">
        <f t="shared" si="20"/>
        <v>49.43828084576962</v>
      </c>
      <c r="C711" s="29"/>
      <c r="D711" s="29"/>
      <c r="E711" s="58">
        <f t="shared" si="21"/>
        <v>55422.12829208462</v>
      </c>
    </row>
    <row r="712" spans="1:5" ht="12.75">
      <c r="A712" s="1">
        <v>0.683</v>
      </c>
      <c r="B712" s="29">
        <f t="shared" si="20"/>
        <v>49.44087884740749</v>
      </c>
      <c r="C712" s="29"/>
      <c r="D712" s="29"/>
      <c r="E712" s="58">
        <f t="shared" si="21"/>
        <v>55423.532350489164</v>
      </c>
    </row>
    <row r="713" spans="1:5" ht="12.75">
      <c r="A713" s="1">
        <v>0.684</v>
      </c>
      <c r="B713" s="29">
        <f t="shared" si="20"/>
        <v>49.44348032397002</v>
      </c>
      <c r="C713" s="29"/>
      <c r="D713" s="29"/>
      <c r="E713" s="58">
        <f t="shared" si="21"/>
        <v>55424.93915012248</v>
      </c>
    </row>
    <row r="714" spans="1:5" ht="12.75">
      <c r="A714" s="1">
        <v>0.685</v>
      </c>
      <c r="B714" s="29">
        <f t="shared" si="20"/>
        <v>49.446085305352334</v>
      </c>
      <c r="C714" s="29"/>
      <c r="D714" s="29"/>
      <c r="E714" s="58">
        <f t="shared" si="21"/>
        <v>55426.34871056417</v>
      </c>
    </row>
    <row r="715" spans="1:5" ht="12.75">
      <c r="A715" s="1">
        <v>0.686</v>
      </c>
      <c r="B715" s="29">
        <f t="shared" si="20"/>
        <v>49.44869382168159</v>
      </c>
      <c r="C715" s="29"/>
      <c r="D715" s="29"/>
      <c r="E715" s="58">
        <f t="shared" si="21"/>
        <v>55427.76105156326</v>
      </c>
    </row>
    <row r="716" spans="1:5" ht="12.75">
      <c r="A716" s="1">
        <v>0.687</v>
      </c>
      <c r="B716" s="29">
        <f t="shared" si="20"/>
        <v>49.45130590332002</v>
      </c>
      <c r="C716" s="29"/>
      <c r="D716" s="29"/>
      <c r="E716" s="58">
        <f t="shared" si="21"/>
        <v>55429.17619304039</v>
      </c>
    </row>
    <row r="717" spans="1:5" ht="12.75">
      <c r="A717" s="1">
        <v>0.6880000000000001</v>
      </c>
      <c r="B717" s="29">
        <f t="shared" si="20"/>
        <v>49.45392158086809</v>
      </c>
      <c r="C717" s="29"/>
      <c r="D717" s="29"/>
      <c r="E717" s="58">
        <f t="shared" si="21"/>
        <v>55430.59415509007</v>
      </c>
    </row>
    <row r="718" spans="1:5" ht="12.75">
      <c r="A718" s="1">
        <v>0.6890000000000001</v>
      </c>
      <c r="B718" s="29">
        <f t="shared" si="20"/>
        <v>49.45654088516766</v>
      </c>
      <c r="C718" s="29"/>
      <c r="D718" s="29"/>
      <c r="E718" s="58">
        <f t="shared" si="21"/>
        <v>55432.014957982865</v>
      </c>
    </row>
    <row r="719" spans="1:5" ht="12.75">
      <c r="A719" s="1">
        <v>0.69</v>
      </c>
      <c r="B719" s="29">
        <f t="shared" si="20"/>
        <v>49.45916384730523</v>
      </c>
      <c r="C719" s="29"/>
      <c r="D719" s="29"/>
      <c r="E719" s="58">
        <f t="shared" si="21"/>
        <v>55433.438622167734</v>
      </c>
    </row>
    <row r="720" spans="1:5" ht="12.75">
      <c r="A720" s="1">
        <v>0.6910000000000001</v>
      </c>
      <c r="B720" s="29">
        <f t="shared" si="20"/>
        <v>49.46179049861515</v>
      </c>
      <c r="C720" s="29"/>
      <c r="D720" s="29"/>
      <c r="E720" s="58">
        <f t="shared" si="21"/>
        <v>55434.8651682743</v>
      </c>
    </row>
    <row r="721" spans="1:5" ht="12.75">
      <c r="A721" s="1">
        <v>0.6920000000000001</v>
      </c>
      <c r="B721" s="29">
        <f t="shared" si="20"/>
        <v>49.46442087068303</v>
      </c>
      <c r="C721" s="29"/>
      <c r="D721" s="29"/>
      <c r="E721" s="58">
        <f t="shared" si="21"/>
        <v>55436.29461711526</v>
      </c>
    </row>
    <row r="722" spans="1:5" ht="12.75">
      <c r="A722" s="1">
        <v>0.6930000000000001</v>
      </c>
      <c r="B722" s="29">
        <f t="shared" si="20"/>
        <v>49.46705499534906</v>
      </c>
      <c r="C722" s="29"/>
      <c r="D722" s="29"/>
      <c r="E722" s="58">
        <f t="shared" si="21"/>
        <v>55437.72698968874</v>
      </c>
    </row>
    <row r="723" spans="1:5" ht="12.75">
      <c r="A723" s="1">
        <v>0.6940000000000001</v>
      </c>
      <c r="B723" s="29">
        <f t="shared" si="20"/>
        <v>49.46969290471144</v>
      </c>
      <c r="C723" s="29"/>
      <c r="D723" s="29"/>
      <c r="E723" s="58">
        <f t="shared" si="21"/>
        <v>55439.162307180726</v>
      </c>
    </row>
    <row r="724" spans="1:5" ht="12.75">
      <c r="A724" s="1">
        <v>0.695</v>
      </c>
      <c r="B724" s="29">
        <f t="shared" si="20"/>
        <v>49.47233463112987</v>
      </c>
      <c r="C724" s="29"/>
      <c r="D724" s="29"/>
      <c r="E724" s="58">
        <f t="shared" si="21"/>
        <v>55440.60059096757</v>
      </c>
    </row>
    <row r="725" spans="1:5" ht="12.75">
      <c r="A725" s="1">
        <v>0.6960000000000001</v>
      </c>
      <c r="B725" s="29">
        <f t="shared" si="20"/>
        <v>49.47498020722909</v>
      </c>
      <c r="C725" s="29"/>
      <c r="D725" s="29"/>
      <c r="E725" s="58">
        <f t="shared" si="21"/>
        <v>55442.041862618484</v>
      </c>
    </row>
    <row r="726" spans="1:5" ht="12.75">
      <c r="A726" s="1">
        <v>0.6970000000000001</v>
      </c>
      <c r="B726" s="29">
        <f t="shared" si="20"/>
        <v>49.47762966590244</v>
      </c>
      <c r="C726" s="29"/>
      <c r="D726" s="29"/>
      <c r="E726" s="58">
        <f t="shared" si="21"/>
        <v>55443.48614389804</v>
      </c>
    </row>
    <row r="727" spans="1:5" ht="12.75">
      <c r="A727" s="1">
        <v>0.6980000000000001</v>
      </c>
      <c r="B727" s="29">
        <f t="shared" si="20"/>
        <v>49.48028304031555</v>
      </c>
      <c r="C727" s="29"/>
      <c r="D727" s="29"/>
      <c r="E727" s="58">
        <f t="shared" si="21"/>
        <v>55444.933456768835</v>
      </c>
    </row>
    <row r="728" spans="1:5" ht="12.75">
      <c r="A728" s="1">
        <v>0.6990000000000001</v>
      </c>
      <c r="B728" s="29">
        <f t="shared" si="20"/>
        <v>49.48294036391</v>
      </c>
      <c r="C728" s="29"/>
      <c r="D728" s="29"/>
      <c r="E728" s="58">
        <f t="shared" si="21"/>
        <v>55446.383823394106</v>
      </c>
    </row>
    <row r="729" spans="1:5" ht="12.75">
      <c r="A729" s="1">
        <v>0.7</v>
      </c>
      <c r="B729" s="29">
        <f t="shared" si="20"/>
        <v>49.485601670407085</v>
      </c>
      <c r="C729" s="29"/>
      <c r="D729" s="29"/>
      <c r="E729" s="58">
        <f t="shared" si="21"/>
        <v>55447.83726614035</v>
      </c>
    </row>
    <row r="730" spans="1:5" ht="12.75">
      <c r="A730" s="1">
        <v>0.7010000000000001</v>
      </c>
      <c r="B730" s="29">
        <f t="shared" si="20"/>
        <v>49.48826699381167</v>
      </c>
      <c r="C730" s="29"/>
      <c r="D730" s="29"/>
      <c r="E730" s="58">
        <f t="shared" si="21"/>
        <v>55449.293807580114</v>
      </c>
    </row>
    <row r="731" spans="1:5" ht="12.75">
      <c r="A731" s="1">
        <v>0.7020000000000001</v>
      </c>
      <c r="B731" s="29">
        <f t="shared" si="20"/>
        <v>49.49093636841604</v>
      </c>
      <c r="C731" s="29"/>
      <c r="D731" s="29"/>
      <c r="E731" s="58">
        <f t="shared" si="21"/>
        <v>55450.75347049474</v>
      </c>
    </row>
    <row r="732" spans="1:5" ht="12.75">
      <c r="A732" s="1">
        <v>0.7030000000000001</v>
      </c>
      <c r="B732" s="29">
        <f t="shared" si="20"/>
        <v>49.49360982880384</v>
      </c>
      <c r="C732" s="29"/>
      <c r="D732" s="29"/>
      <c r="E732" s="58">
        <f t="shared" si="21"/>
        <v>55452.21627787715</v>
      </c>
    </row>
    <row r="733" spans="1:5" ht="12.75">
      <c r="A733" s="1">
        <v>0.7040000000000001</v>
      </c>
      <c r="B733" s="29">
        <f t="shared" si="20"/>
        <v>49.496287409854105</v>
      </c>
      <c r="C733" s="29"/>
      <c r="D733" s="29"/>
      <c r="E733" s="58">
        <f t="shared" si="21"/>
        <v>55453.68225293473</v>
      </c>
    </row>
    <row r="734" spans="1:5" ht="12.75">
      <c r="A734" s="1">
        <v>0.705</v>
      </c>
      <c r="B734" s="29">
        <f t="shared" si="20"/>
        <v>49.49896914674532</v>
      </c>
      <c r="C734" s="29"/>
      <c r="D734" s="29"/>
      <c r="E734" s="58">
        <f t="shared" si="21"/>
        <v>55455.15141909219</v>
      </c>
    </row>
    <row r="735" spans="1:5" ht="12.75">
      <c r="A735" s="1">
        <v>0.706</v>
      </c>
      <c r="B735" s="29">
        <f aca="true" t="shared" si="22" ref="B735:B798">$C$6+NORMSINV($A735)*$C$11*$C$6</f>
        <v>49.50165507495954</v>
      </c>
      <c r="C735" s="29"/>
      <c r="D735" s="29"/>
      <c r="E735" s="58">
        <f aca="true" t="shared" si="23" ref="E735:E798">EPortfolio($C$5+1/252,$B735,$C$7,$C$8,$C$9,,$C$10,$H$7:$L$10,0)</f>
        <v>55456.62379999458</v>
      </c>
    </row>
    <row r="736" spans="1:5" ht="12.75">
      <c r="A736" s="1">
        <v>0.707</v>
      </c>
      <c r="B736" s="29">
        <f t="shared" si="22"/>
        <v>49.50434523028662</v>
      </c>
      <c r="C736" s="29"/>
      <c r="D736" s="29"/>
      <c r="E736" s="58">
        <f t="shared" si="23"/>
        <v>55458.09941951024</v>
      </c>
    </row>
    <row r="737" spans="1:5" ht="12.75">
      <c r="A737" s="1">
        <v>0.708</v>
      </c>
      <c r="B737" s="29">
        <f t="shared" si="22"/>
        <v>49.50703964882848</v>
      </c>
      <c r="C737" s="29"/>
      <c r="D737" s="29"/>
      <c r="E737" s="58">
        <f t="shared" si="23"/>
        <v>55459.57830173384</v>
      </c>
    </row>
    <row r="738" spans="1:5" ht="12.75">
      <c r="A738" s="1">
        <v>0.709</v>
      </c>
      <c r="B738" s="29">
        <f t="shared" si="22"/>
        <v>49.50973836700344</v>
      </c>
      <c r="C738" s="29"/>
      <c r="D738" s="29"/>
      <c r="E738" s="58">
        <f t="shared" si="23"/>
        <v>55461.06047098955</v>
      </c>
    </row>
    <row r="739" spans="1:5" ht="12.75">
      <c r="A739" s="1">
        <v>0.71</v>
      </c>
      <c r="B739" s="29">
        <f t="shared" si="22"/>
        <v>49.51244142155063</v>
      </c>
      <c r="C739" s="29"/>
      <c r="D739" s="29"/>
      <c r="E739" s="58">
        <f t="shared" si="23"/>
        <v>55462.54595183411</v>
      </c>
    </row>
    <row r="740" spans="1:5" ht="12.75">
      <c r="A740" s="1">
        <v>0.711</v>
      </c>
      <c r="B740" s="29">
        <f t="shared" si="22"/>
        <v>49.51514884953451</v>
      </c>
      <c r="C740" s="29"/>
      <c r="D740" s="29"/>
      <c r="E740" s="58">
        <f t="shared" si="23"/>
        <v>55464.034769060076</v>
      </c>
    </row>
    <row r="741" spans="1:5" ht="12.75">
      <c r="A741" s="1">
        <v>0.712</v>
      </c>
      <c r="B741" s="29">
        <f t="shared" si="22"/>
        <v>49.51786068834937</v>
      </c>
      <c r="C741" s="29"/>
      <c r="D741" s="29"/>
      <c r="E741" s="58">
        <f t="shared" si="23"/>
        <v>55465.526947699116</v>
      </c>
    </row>
    <row r="742" spans="1:5" ht="12.75">
      <c r="A742" s="1">
        <v>0.713</v>
      </c>
      <c r="B742" s="29">
        <f t="shared" si="22"/>
        <v>49.52057697572404</v>
      </c>
      <c r="C742" s="29"/>
      <c r="D742" s="29"/>
      <c r="E742" s="58">
        <f t="shared" si="23"/>
        <v>55467.02251302523</v>
      </c>
    </row>
    <row r="743" spans="1:5" ht="12.75">
      <c r="A743" s="1">
        <v>0.714</v>
      </c>
      <c r="B743" s="29">
        <f t="shared" si="22"/>
        <v>49.52329774972654</v>
      </c>
      <c r="C743" s="29"/>
      <c r="D743" s="29"/>
      <c r="E743" s="58">
        <f t="shared" si="23"/>
        <v>55468.52149055823</v>
      </c>
    </row>
    <row r="744" spans="1:5" ht="12.75">
      <c r="A744" s="1">
        <v>0.715</v>
      </c>
      <c r="B744" s="29">
        <f t="shared" si="22"/>
        <v>49.5260230487689</v>
      </c>
      <c r="C744" s="29"/>
      <c r="D744" s="29"/>
      <c r="E744" s="58">
        <f t="shared" si="23"/>
        <v>55470.02390606709</v>
      </c>
    </row>
    <row r="745" spans="1:5" ht="12.75">
      <c r="A745" s="1">
        <v>0.716</v>
      </c>
      <c r="B745" s="29">
        <f t="shared" si="22"/>
        <v>49.52875291161206</v>
      </c>
      <c r="C745" s="29"/>
      <c r="D745" s="29"/>
      <c r="E745" s="58">
        <f t="shared" si="23"/>
        <v>55471.52978557347</v>
      </c>
    </row>
    <row r="746" spans="1:5" ht="12.75">
      <c r="A746" s="1">
        <v>0.717</v>
      </c>
      <c r="B746" s="29">
        <f t="shared" si="22"/>
        <v>49.53148737737077</v>
      </c>
      <c r="C746" s="29"/>
      <c r="D746" s="29"/>
      <c r="E746" s="58">
        <f t="shared" si="23"/>
        <v>55473.039155355276</v>
      </c>
    </row>
    <row r="747" spans="1:5" ht="12.75">
      <c r="A747" s="1">
        <v>0.718</v>
      </c>
      <c r="B747" s="29">
        <f t="shared" si="22"/>
        <v>49.534226485518694</v>
      </c>
      <c r="C747" s="29"/>
      <c r="D747" s="29"/>
      <c r="E747" s="58">
        <f t="shared" si="23"/>
        <v>55474.55204195024</v>
      </c>
    </row>
    <row r="748" spans="1:5" ht="12.75">
      <c r="A748" s="1">
        <v>0.719</v>
      </c>
      <c r="B748" s="29">
        <f t="shared" si="22"/>
        <v>49.536970275893474</v>
      </c>
      <c r="C748" s="29"/>
      <c r="D748" s="29"/>
      <c r="E748" s="58">
        <f t="shared" si="23"/>
        <v>55476.068472159626</v>
      </c>
    </row>
    <row r="749" spans="1:5" ht="12.75">
      <c r="A749" s="1">
        <v>0.72</v>
      </c>
      <c r="B749" s="29">
        <f t="shared" si="22"/>
        <v>49.53971878870199</v>
      </c>
      <c r="C749" s="29"/>
      <c r="D749" s="29"/>
      <c r="E749" s="58">
        <f t="shared" si="23"/>
        <v>55477.58847305193</v>
      </c>
    </row>
    <row r="750" spans="1:5" ht="12.75">
      <c r="A750" s="1">
        <v>0.721</v>
      </c>
      <c r="B750" s="29">
        <f t="shared" si="22"/>
        <v>49.54247206452563</v>
      </c>
      <c r="C750" s="29"/>
      <c r="D750" s="29"/>
      <c r="E750" s="58">
        <f t="shared" si="23"/>
        <v>55479.11207196672</v>
      </c>
    </row>
    <row r="751" spans="1:5" ht="12.75">
      <c r="A751" s="1">
        <v>0.722</v>
      </c>
      <c r="B751" s="29">
        <f t="shared" si="22"/>
        <v>49.545230144325735</v>
      </c>
      <c r="C751" s="29"/>
      <c r="D751" s="29"/>
      <c r="E751" s="58">
        <f t="shared" si="23"/>
        <v>55480.6392965185</v>
      </c>
    </row>
    <row r="752" spans="1:5" ht="12.75">
      <c r="A752" s="1">
        <v>0.723</v>
      </c>
      <c r="B752" s="29">
        <f t="shared" si="22"/>
        <v>49.547993069449014</v>
      </c>
      <c r="C752" s="29"/>
      <c r="D752" s="29"/>
      <c r="E752" s="58">
        <f t="shared" si="23"/>
        <v>55482.170174600586</v>
      </c>
    </row>
    <row r="753" spans="1:5" ht="12.75">
      <c r="A753" s="1">
        <v>0.724</v>
      </c>
      <c r="B753" s="29">
        <f t="shared" si="22"/>
        <v>49.550760881633195</v>
      </c>
      <c r="C753" s="29"/>
      <c r="D753" s="29"/>
      <c r="E753" s="58">
        <f t="shared" si="23"/>
        <v>55483.70473438923</v>
      </c>
    </row>
    <row r="754" spans="1:5" ht="12.75">
      <c r="A754" s="1">
        <v>0.725</v>
      </c>
      <c r="B754" s="29">
        <f t="shared" si="22"/>
        <v>49.553533623012655</v>
      </c>
      <c r="C754" s="29"/>
      <c r="D754" s="29"/>
      <c r="E754" s="58">
        <f t="shared" si="23"/>
        <v>55485.243004347605</v>
      </c>
    </row>
    <row r="755" spans="1:5" ht="12.75">
      <c r="A755" s="1">
        <v>0.726</v>
      </c>
      <c r="B755" s="29">
        <f t="shared" si="22"/>
        <v>49.55631133612425</v>
      </c>
      <c r="C755" s="29"/>
      <c r="D755" s="29"/>
      <c r="E755" s="58">
        <f t="shared" si="23"/>
        <v>55486.78501323</v>
      </c>
    </row>
    <row r="756" spans="1:5" ht="12.75">
      <c r="A756" s="1">
        <v>0.727</v>
      </c>
      <c r="B756" s="29">
        <f t="shared" si="22"/>
        <v>49.55909406391315</v>
      </c>
      <c r="C756" s="29"/>
      <c r="D756" s="29"/>
      <c r="E756" s="58">
        <f t="shared" si="23"/>
        <v>55488.330790086016</v>
      </c>
    </row>
    <row r="757" spans="1:5" ht="12.75">
      <c r="A757" s="1">
        <v>0.728</v>
      </c>
      <c r="B757" s="29">
        <f t="shared" si="22"/>
        <v>49.561881849738846</v>
      </c>
      <c r="C757" s="29"/>
      <c r="D757" s="29"/>
      <c r="E757" s="58">
        <f t="shared" si="23"/>
        <v>55489.880364264885</v>
      </c>
    </row>
    <row r="758" spans="1:5" ht="12.75">
      <c r="A758" s="1">
        <v>0.729</v>
      </c>
      <c r="B758" s="29">
        <f t="shared" si="22"/>
        <v>49.56467473738125</v>
      </c>
      <c r="C758" s="29"/>
      <c r="D758" s="29"/>
      <c r="E758" s="58">
        <f t="shared" si="23"/>
        <v>55491.43376541988</v>
      </c>
    </row>
    <row r="759" spans="1:5" ht="12.75">
      <c r="A759" s="1">
        <v>0.73</v>
      </c>
      <c r="B759" s="29">
        <f t="shared" si="22"/>
        <v>49.56747277104688</v>
      </c>
      <c r="C759" s="29"/>
      <c r="D759" s="29"/>
      <c r="E759" s="58">
        <f t="shared" si="23"/>
        <v>55492.99102351273</v>
      </c>
    </row>
    <row r="760" spans="1:5" ht="12.75">
      <c r="A760" s="1">
        <v>0.731</v>
      </c>
      <c r="B760" s="29">
        <f t="shared" si="22"/>
        <v>49.57027599537518</v>
      </c>
      <c r="C760" s="29"/>
      <c r="D760" s="29"/>
      <c r="E760" s="58">
        <f t="shared" si="23"/>
        <v>55494.55216881816</v>
      </c>
    </row>
    <row r="761" spans="1:5" ht="12.75">
      <c r="A761" s="1">
        <v>0.732</v>
      </c>
      <c r="B761" s="29">
        <f t="shared" si="22"/>
        <v>49.57308445544492</v>
      </c>
      <c r="C761" s="29"/>
      <c r="D761" s="29"/>
      <c r="E761" s="58">
        <f t="shared" si="23"/>
        <v>55496.11723192855</v>
      </c>
    </row>
    <row r="762" spans="1:5" ht="12.75">
      <c r="A762" s="1">
        <v>0.733</v>
      </c>
      <c r="B762" s="29">
        <f t="shared" si="22"/>
        <v>49.5758981967808</v>
      </c>
      <c r="C762" s="29"/>
      <c r="D762" s="29"/>
      <c r="E762" s="58">
        <f t="shared" si="23"/>
        <v>55497.68624375862</v>
      </c>
    </row>
    <row r="763" spans="1:5" ht="12.75">
      <c r="A763" s="1">
        <v>0.734</v>
      </c>
      <c r="B763" s="29">
        <f t="shared" si="22"/>
        <v>49.57871726536002</v>
      </c>
      <c r="C763" s="29"/>
      <c r="D763" s="29"/>
      <c r="E763" s="58">
        <f t="shared" si="23"/>
        <v>55499.2592355502</v>
      </c>
    </row>
    <row r="764" spans="1:5" ht="12.75">
      <c r="A764" s="1">
        <v>0.735</v>
      </c>
      <c r="B764" s="29">
        <f t="shared" si="22"/>
        <v>49.581541707619124</v>
      </c>
      <c r="C764" s="29"/>
      <c r="D764" s="29"/>
      <c r="E764" s="58">
        <f t="shared" si="23"/>
        <v>55500.83623887719</v>
      </c>
    </row>
    <row r="765" spans="1:5" ht="12.75">
      <c r="A765" s="1">
        <v>0.736</v>
      </c>
      <c r="B765" s="29">
        <f t="shared" si="22"/>
        <v>49.58437157046089</v>
      </c>
      <c r="C765" s="29"/>
      <c r="D765" s="29"/>
      <c r="E765" s="58">
        <f t="shared" si="23"/>
        <v>55502.41728565045</v>
      </c>
    </row>
    <row r="766" spans="1:5" ht="12.75">
      <c r="A766" s="1">
        <v>0.737</v>
      </c>
      <c r="B766" s="29">
        <f t="shared" si="22"/>
        <v>49.587206901261325</v>
      </c>
      <c r="C766" s="29"/>
      <c r="D766" s="29"/>
      <c r="E766" s="58">
        <f t="shared" si="23"/>
        <v>55504.0024081229</v>
      </c>
    </row>
    <row r="767" spans="1:5" ht="12.75">
      <c r="A767" s="1">
        <v>0.738</v>
      </c>
      <c r="B767" s="29">
        <f t="shared" si="22"/>
        <v>49.59004774787688</v>
      </c>
      <c r="C767" s="29"/>
      <c r="D767" s="29"/>
      <c r="E767" s="58">
        <f t="shared" si="23"/>
        <v>55505.5916388947</v>
      </c>
    </row>
    <row r="768" spans="1:5" ht="12.75">
      <c r="A768" s="1">
        <v>0.739</v>
      </c>
      <c r="B768" s="29">
        <f t="shared" si="22"/>
        <v>49.59289415865168</v>
      </c>
      <c r="C768" s="29"/>
      <c r="D768" s="29"/>
      <c r="E768" s="58">
        <f t="shared" si="23"/>
        <v>55507.18501091846</v>
      </c>
    </row>
    <row r="769" spans="1:5" ht="12.75">
      <c r="A769" s="1">
        <v>0.74</v>
      </c>
      <c r="B769" s="29">
        <f t="shared" si="22"/>
        <v>49.59574618242499</v>
      </c>
      <c r="C769" s="29"/>
      <c r="D769" s="29"/>
      <c r="E769" s="58">
        <f t="shared" si="23"/>
        <v>55508.78255750468</v>
      </c>
    </row>
    <row r="770" spans="1:5" ht="12.75">
      <c r="A770" s="1">
        <v>0.741</v>
      </c>
      <c r="B770" s="29">
        <f t="shared" si="22"/>
        <v>49.598603868538774</v>
      </c>
      <c r="C770" s="29"/>
      <c r="D770" s="29"/>
      <c r="E770" s="58">
        <f t="shared" si="23"/>
        <v>55510.38431232707</v>
      </c>
    </row>
    <row r="771" spans="1:5" ht="12.75">
      <c r="A771" s="1">
        <v>0.742</v>
      </c>
      <c r="B771" s="29">
        <f t="shared" si="22"/>
        <v>49.601467266845376</v>
      </c>
      <c r="C771" s="29"/>
      <c r="D771" s="29"/>
      <c r="E771" s="58">
        <f t="shared" si="23"/>
        <v>55511.99030942827</v>
      </c>
    </row>
    <row r="772" spans="1:5" ht="12.75">
      <c r="A772" s="1">
        <v>0.743</v>
      </c>
      <c r="B772" s="29">
        <f t="shared" si="22"/>
        <v>49.6043364277154</v>
      </c>
      <c r="C772" s="29"/>
      <c r="D772" s="29"/>
      <c r="E772" s="58">
        <f t="shared" si="23"/>
        <v>55513.6005832254</v>
      </c>
    </row>
    <row r="773" spans="1:5" ht="12.75">
      <c r="A773" s="1">
        <v>0.744</v>
      </c>
      <c r="B773" s="29">
        <f t="shared" si="22"/>
        <v>49.60721140204568</v>
      </c>
      <c r="C773" s="29"/>
      <c r="D773" s="29"/>
      <c r="E773" s="58">
        <f t="shared" si="23"/>
        <v>55515.215168515904</v>
      </c>
    </row>
    <row r="774" spans="1:5" ht="12.75">
      <c r="A774" s="1">
        <v>0.745</v>
      </c>
      <c r="B774" s="29">
        <f t="shared" si="22"/>
        <v>49.61009224126744</v>
      </c>
      <c r="C774" s="29"/>
      <c r="D774" s="29"/>
      <c r="E774" s="58">
        <f t="shared" si="23"/>
        <v>55516.83410048338</v>
      </c>
    </row>
    <row r="775" spans="1:5" ht="12.75">
      <c r="A775" s="1">
        <v>0.746</v>
      </c>
      <c r="B775" s="29">
        <f t="shared" si="22"/>
        <v>49.6129789973546</v>
      </c>
      <c r="C775" s="29"/>
      <c r="D775" s="29"/>
      <c r="E775" s="58">
        <f t="shared" si="23"/>
        <v>55518.45741470363</v>
      </c>
    </row>
    <row r="776" spans="1:5" ht="12.75">
      <c r="A776" s="1">
        <v>0.747</v>
      </c>
      <c r="B776" s="29">
        <f t="shared" si="22"/>
        <v>49.61587172283224</v>
      </c>
      <c r="C776" s="29"/>
      <c r="D776" s="29"/>
      <c r="E776" s="58">
        <f t="shared" si="23"/>
        <v>55520.085147150785</v>
      </c>
    </row>
    <row r="777" spans="1:5" ht="12.75">
      <c r="A777" s="1">
        <v>0.748</v>
      </c>
      <c r="B777" s="29">
        <f t="shared" si="22"/>
        <v>49.61877047078521</v>
      </c>
      <c r="C777" s="29"/>
      <c r="D777" s="29"/>
      <c r="E777" s="58">
        <f t="shared" si="23"/>
        <v>55521.717334203466</v>
      </c>
    </row>
    <row r="778" spans="1:5" ht="12.75">
      <c r="A778" s="1">
        <v>0.749</v>
      </c>
      <c r="B778" s="29">
        <f t="shared" si="22"/>
        <v>49.62167529486692</v>
      </c>
      <c r="C778" s="29"/>
      <c r="D778" s="29"/>
      <c r="E778" s="58">
        <f t="shared" si="23"/>
        <v>55523.354012651194</v>
      </c>
    </row>
    <row r="779" spans="1:5" ht="12.75">
      <c r="A779" s="1">
        <v>0.75</v>
      </c>
      <c r="B779" s="29">
        <f t="shared" si="22"/>
        <v>49.62458624930832</v>
      </c>
      <c r="C779" s="29"/>
      <c r="D779" s="29"/>
      <c r="E779" s="58">
        <f t="shared" si="23"/>
        <v>55524.995219700904</v>
      </c>
    </row>
    <row r="780" spans="1:5" ht="12.75">
      <c r="A780" s="1">
        <v>0.751</v>
      </c>
      <c r="B780" s="29">
        <f t="shared" si="22"/>
        <v>49.627503388927</v>
      </c>
      <c r="C780" s="29"/>
      <c r="D780" s="29"/>
      <c r="E780" s="58">
        <f t="shared" si="23"/>
        <v>55526.640992983484</v>
      </c>
    </row>
    <row r="781" spans="1:5" ht="12.75">
      <c r="A781" s="1">
        <v>0.752</v>
      </c>
      <c r="B781" s="29">
        <f t="shared" si="22"/>
        <v>49.63042676913654</v>
      </c>
      <c r="C781" s="29"/>
      <c r="D781" s="29"/>
      <c r="E781" s="58">
        <f t="shared" si="23"/>
        <v>55528.29137056054</v>
      </c>
    </row>
    <row r="782" spans="1:5" ht="12.75">
      <c r="A782" s="1">
        <v>0.753</v>
      </c>
      <c r="B782" s="29">
        <f t="shared" si="22"/>
        <v>49.633356445955954</v>
      </c>
      <c r="C782" s="29"/>
      <c r="D782" s="29"/>
      <c r="E782" s="58">
        <f t="shared" si="23"/>
        <v>55529.94639093132</v>
      </c>
    </row>
    <row r="783" spans="1:5" ht="12.75">
      <c r="A783" s="1">
        <v>0.754</v>
      </c>
      <c r="B783" s="29">
        <f t="shared" si="22"/>
        <v>49.63629247601941</v>
      </c>
      <c r="C783" s="29"/>
      <c r="D783" s="29"/>
      <c r="E783" s="58">
        <f t="shared" si="23"/>
        <v>55531.60609303964</v>
      </c>
    </row>
    <row r="784" spans="1:5" ht="12.75">
      <c r="A784" s="1">
        <v>0.755</v>
      </c>
      <c r="B784" s="29">
        <f t="shared" si="22"/>
        <v>49.6392349165861</v>
      </c>
      <c r="C784" s="29"/>
      <c r="D784" s="29"/>
      <c r="E784" s="58">
        <f t="shared" si="23"/>
        <v>55533.270516281096</v>
      </c>
    </row>
    <row r="785" spans="1:5" ht="12.75">
      <c r="A785" s="1">
        <v>0.756</v>
      </c>
      <c r="B785" s="29">
        <f t="shared" si="22"/>
        <v>49.642183825550255</v>
      </c>
      <c r="C785" s="29"/>
      <c r="D785" s="29"/>
      <c r="E785" s="58">
        <f t="shared" si="23"/>
        <v>55534.939700510346</v>
      </c>
    </row>
    <row r="786" spans="1:5" ht="12.75">
      <c r="A786" s="1">
        <v>0.757</v>
      </c>
      <c r="B786" s="29">
        <f t="shared" si="22"/>
        <v>49.64513926145147</v>
      </c>
      <c r="C786" s="29"/>
      <c r="D786" s="29"/>
      <c r="E786" s="58">
        <f t="shared" si="23"/>
        <v>55536.61368604852</v>
      </c>
    </row>
    <row r="787" spans="1:5" ht="12.75">
      <c r="A787" s="1">
        <v>0.758</v>
      </c>
      <c r="B787" s="29">
        <f t="shared" si="22"/>
        <v>49.648101283485154</v>
      </c>
      <c r="C787" s="29"/>
      <c r="D787" s="29"/>
      <c r="E787" s="58">
        <f t="shared" si="23"/>
        <v>55538.29251369087</v>
      </c>
    </row>
    <row r="788" spans="1:5" ht="12.75">
      <c r="A788" s="1">
        <v>0.759</v>
      </c>
      <c r="B788" s="29">
        <f t="shared" si="22"/>
        <v>49.651069951513186</v>
      </c>
      <c r="C788" s="29"/>
      <c r="D788" s="29"/>
      <c r="E788" s="58">
        <f t="shared" si="23"/>
        <v>55539.97622471445</v>
      </c>
    </row>
    <row r="789" spans="1:5" ht="12.75">
      <c r="A789" s="1">
        <v>0.76</v>
      </c>
      <c r="B789" s="29">
        <f t="shared" si="22"/>
        <v>49.65404532607486</v>
      </c>
      <c r="C789" s="29"/>
      <c r="D789" s="29"/>
      <c r="E789" s="58">
        <f t="shared" si="23"/>
        <v>55541.664860886085</v>
      </c>
    </row>
    <row r="790" spans="1:5" ht="12.75">
      <c r="A790" s="1">
        <v>0.761</v>
      </c>
      <c r="B790" s="29">
        <f t="shared" si="22"/>
        <v>49.657027468397935</v>
      </c>
      <c r="C790" s="29"/>
      <c r="D790" s="29"/>
      <c r="E790" s="58">
        <f t="shared" si="23"/>
        <v>55543.35846447041</v>
      </c>
    </row>
    <row r="791" spans="1:5" ht="12.75">
      <c r="A791" s="1">
        <v>0.762</v>
      </c>
      <c r="B791" s="29">
        <f t="shared" si="22"/>
        <v>49.66001644041006</v>
      </c>
      <c r="C791" s="29"/>
      <c r="D791" s="29"/>
      <c r="E791" s="58">
        <f t="shared" si="23"/>
        <v>55545.05707823807</v>
      </c>
    </row>
    <row r="792" spans="1:5" ht="12.75">
      <c r="A792" s="1">
        <v>0.763</v>
      </c>
      <c r="B792" s="29">
        <f t="shared" si="22"/>
        <v>49.663012304750275</v>
      </c>
      <c r="C792" s="29"/>
      <c r="D792" s="29"/>
      <c r="E792" s="58">
        <f t="shared" si="23"/>
        <v>55546.76074547419</v>
      </c>
    </row>
    <row r="793" spans="1:5" ht="12.75">
      <c r="A793" s="1">
        <v>0.764</v>
      </c>
      <c r="B793" s="29">
        <f t="shared" si="22"/>
        <v>49.66601512478086</v>
      </c>
      <c r="C793" s="29"/>
      <c r="D793" s="29"/>
      <c r="E793" s="58">
        <f t="shared" si="23"/>
        <v>55548.46950998691</v>
      </c>
    </row>
    <row r="794" spans="1:5" ht="12.75">
      <c r="A794" s="1">
        <v>0.765</v>
      </c>
      <c r="B794" s="29">
        <f t="shared" si="22"/>
        <v>49.66902496459938</v>
      </c>
      <c r="C794" s="29"/>
      <c r="D794" s="29"/>
      <c r="E794" s="58">
        <f t="shared" si="23"/>
        <v>55550.18341611619</v>
      </c>
    </row>
    <row r="795" spans="1:5" ht="12.75">
      <c r="A795" s="1">
        <v>0.766</v>
      </c>
      <c r="B795" s="29">
        <f t="shared" si="22"/>
        <v>49.67204188905099</v>
      </c>
      <c r="C795" s="29"/>
      <c r="D795" s="29"/>
      <c r="E795" s="58">
        <f t="shared" si="23"/>
        <v>55551.90250874262</v>
      </c>
    </row>
    <row r="796" spans="1:5" ht="12.75">
      <c r="A796" s="1">
        <v>0.767</v>
      </c>
      <c r="B796" s="29">
        <f t="shared" si="22"/>
        <v>49.675065963740984</v>
      </c>
      <c r="C796" s="29"/>
      <c r="D796" s="29"/>
      <c r="E796" s="58">
        <f t="shared" si="23"/>
        <v>55553.626833296745</v>
      </c>
    </row>
    <row r="797" spans="1:5" ht="12.75">
      <c r="A797" s="1">
        <v>0.768</v>
      </c>
      <c r="B797" s="29">
        <f t="shared" si="22"/>
        <v>49.67809725504764</v>
      </c>
      <c r="C797" s="29"/>
      <c r="D797" s="29"/>
      <c r="E797" s="58">
        <f t="shared" si="23"/>
        <v>55555.35643576825</v>
      </c>
    </row>
    <row r="798" spans="1:5" ht="12.75">
      <c r="A798" s="1">
        <v>0.769</v>
      </c>
      <c r="B798" s="29">
        <f t="shared" si="22"/>
        <v>49.6811358301353</v>
      </c>
      <c r="C798" s="29"/>
      <c r="D798" s="29"/>
      <c r="E798" s="58">
        <f t="shared" si="23"/>
        <v>55557.091362715495</v>
      </c>
    </row>
    <row r="799" spans="1:5" ht="12.75">
      <c r="A799" s="1">
        <v>0.77</v>
      </c>
      <c r="B799" s="29">
        <f aca="true" t="shared" si="24" ref="B799:B862">$C$6+NORMSINV($A799)*$C$11*$C$6</f>
        <v>49.6841817569677</v>
      </c>
      <c r="C799" s="29"/>
      <c r="D799" s="29"/>
      <c r="E799" s="58">
        <f aca="true" t="shared" si="25" ref="E799:E862">EPortfolio($C$5+1/252,$B799,$C$7,$C$8,$C$9,,$C$10,$H$7:$L$10,0)</f>
        <v>55558.831661275304</v>
      </c>
    </row>
    <row r="800" spans="1:5" ht="12.75">
      <c r="A800" s="1">
        <v>0.771</v>
      </c>
      <c r="B800" s="29">
        <f t="shared" si="24"/>
        <v>49.6872351043217</v>
      </c>
      <c r="C800" s="29"/>
      <c r="D800" s="29"/>
      <c r="E800" s="58">
        <f t="shared" si="25"/>
        <v>55560.57737917281</v>
      </c>
    </row>
    <row r="801" spans="1:5" ht="12.75">
      <c r="A801" s="1">
        <v>0.772</v>
      </c>
      <c r="B801" s="29">
        <f t="shared" si="24"/>
        <v>49.69029594180114</v>
      </c>
      <c r="C801" s="29"/>
      <c r="D801" s="29"/>
      <c r="E801" s="58">
        <f t="shared" si="25"/>
        <v>55562.3285647317</v>
      </c>
    </row>
    <row r="802" spans="1:5" ht="12.75">
      <c r="A802" s="1">
        <v>0.773</v>
      </c>
      <c r="B802" s="29">
        <f t="shared" si="24"/>
        <v>49.693364339851115</v>
      </c>
      <c r="C802" s="29"/>
      <c r="D802" s="29"/>
      <c r="E802" s="58">
        <f t="shared" si="25"/>
        <v>55564.085266884475</v>
      </c>
    </row>
    <row r="803" spans="1:5" ht="12.75">
      <c r="A803" s="1">
        <v>0.774</v>
      </c>
      <c r="B803" s="29">
        <f t="shared" si="24"/>
        <v>49.69644036977252</v>
      </c>
      <c r="C803" s="29"/>
      <c r="D803" s="29"/>
      <c r="E803" s="58">
        <f t="shared" si="25"/>
        <v>55565.84753518313</v>
      </c>
    </row>
    <row r="804" spans="1:5" ht="12.75">
      <c r="A804" s="1">
        <v>0.775</v>
      </c>
      <c r="B804" s="29">
        <f t="shared" si="24"/>
        <v>49.699524103736884</v>
      </c>
      <c r="C804" s="29"/>
      <c r="D804" s="29"/>
      <c r="E804" s="58">
        <f t="shared" si="25"/>
        <v>55567.61541980988</v>
      </c>
    </row>
    <row r="805" spans="1:5" ht="12.75">
      <c r="A805" s="1">
        <v>0.776</v>
      </c>
      <c r="B805" s="29">
        <f t="shared" si="24"/>
        <v>49.70261561480157</v>
      </c>
      <c r="C805" s="29"/>
      <c r="D805" s="29"/>
      <c r="E805" s="58">
        <f t="shared" si="25"/>
        <v>55569.38897158836</v>
      </c>
    </row>
    <row r="806" spans="1:5" ht="12.75">
      <c r="A806" s="1">
        <v>0.777</v>
      </c>
      <c r="B806" s="29">
        <f t="shared" si="24"/>
        <v>49.70571497692526</v>
      </c>
      <c r="C806" s="29"/>
      <c r="D806" s="29"/>
      <c r="E806" s="58">
        <f t="shared" si="25"/>
        <v>55571.168241994754</v>
      </c>
    </row>
    <row r="807" spans="1:5" ht="12.75">
      <c r="A807" s="1">
        <v>0.778</v>
      </c>
      <c r="B807" s="29">
        <f t="shared" si="24"/>
        <v>49.708822264983795</v>
      </c>
      <c r="C807" s="29"/>
      <c r="D807" s="29"/>
      <c r="E807" s="58">
        <f t="shared" si="25"/>
        <v>55572.95328316949</v>
      </c>
    </row>
    <row r="808" spans="1:5" ht="12.75">
      <c r="A808" s="1">
        <v>0.779</v>
      </c>
      <c r="B808" s="29">
        <f t="shared" si="24"/>
        <v>49.7119375547864</v>
      </c>
      <c r="C808" s="29"/>
      <c r="D808" s="29"/>
      <c r="E808" s="58">
        <f t="shared" si="25"/>
        <v>55574.744147928955</v>
      </c>
    </row>
    <row r="809" spans="1:5" ht="12.75">
      <c r="A809" s="1">
        <v>0.78</v>
      </c>
      <c r="B809" s="29">
        <f t="shared" si="24"/>
        <v>49.71506092309221</v>
      </c>
      <c r="C809" s="29"/>
      <c r="D809" s="29"/>
      <c r="E809" s="58">
        <f t="shared" si="25"/>
        <v>55576.54088977761</v>
      </c>
    </row>
    <row r="810" spans="1:5" ht="12.75">
      <c r="A810" s="1">
        <v>0.781</v>
      </c>
      <c r="B810" s="29">
        <f t="shared" si="24"/>
        <v>49.71819244762717</v>
      </c>
      <c r="C810" s="29"/>
      <c r="D810" s="29"/>
      <c r="E810" s="58">
        <f t="shared" si="25"/>
        <v>55578.34356292035</v>
      </c>
    </row>
    <row r="811" spans="1:5" ht="12.75">
      <c r="A811" s="1">
        <v>0.782</v>
      </c>
      <c r="B811" s="29">
        <f t="shared" si="24"/>
        <v>49.72133220710134</v>
      </c>
      <c r="C811" s="29"/>
      <c r="D811" s="29"/>
      <c r="E811" s="58">
        <f t="shared" si="25"/>
        <v>55580.15222227507</v>
      </c>
    </row>
    <row r="812" spans="1:5" ht="12.75">
      <c r="A812" s="1">
        <v>0.783</v>
      </c>
      <c r="B812" s="29">
        <f t="shared" si="24"/>
        <v>49.72448028122659</v>
      </c>
      <c r="C812" s="29"/>
      <c r="D812" s="29"/>
      <c r="E812" s="58">
        <f t="shared" si="25"/>
        <v>55581.9669234856</v>
      </c>
    </row>
    <row r="813" spans="1:5" ht="12.75">
      <c r="A813" s="1">
        <v>0.784</v>
      </c>
      <c r="B813" s="29">
        <f t="shared" si="24"/>
        <v>49.72763675073465</v>
      </c>
      <c r="C813" s="29"/>
      <c r="D813" s="29"/>
      <c r="E813" s="58">
        <f t="shared" si="25"/>
        <v>55583.78772293488</v>
      </c>
    </row>
    <row r="814" spans="1:5" ht="12.75">
      <c r="A814" s="1">
        <v>0.785</v>
      </c>
      <c r="B814" s="29">
        <f t="shared" si="24"/>
        <v>49.730801697395606</v>
      </c>
      <c r="C814" s="29"/>
      <c r="D814" s="29"/>
      <c r="E814" s="58">
        <f t="shared" si="25"/>
        <v>55585.61467775853</v>
      </c>
    </row>
    <row r="815" spans="1:5" ht="12.75">
      <c r="A815" s="1">
        <v>0.786</v>
      </c>
      <c r="B815" s="29">
        <f t="shared" si="24"/>
        <v>49.733975204036774</v>
      </c>
      <c r="C815" s="29"/>
      <c r="D815" s="29"/>
      <c r="E815" s="58">
        <f t="shared" si="25"/>
        <v>55587.44784585857</v>
      </c>
    </row>
    <row r="816" spans="1:5" ht="12.75">
      <c r="A816" s="1">
        <v>0.787</v>
      </c>
      <c r="B816" s="29">
        <f t="shared" si="24"/>
        <v>49.73715735456208</v>
      </c>
      <c r="C816" s="29"/>
      <c r="D816" s="29"/>
      <c r="E816" s="58">
        <f t="shared" si="25"/>
        <v>55589.2872859176</v>
      </c>
    </row>
    <row r="817" spans="1:5" ht="12.75">
      <c r="A817" s="1">
        <v>0.788</v>
      </c>
      <c r="B817" s="29">
        <f t="shared" si="24"/>
        <v>49.74034823397179</v>
      </c>
      <c r="C817" s="29"/>
      <c r="D817" s="29"/>
      <c r="E817" s="58">
        <f t="shared" si="25"/>
        <v>55591.133057413215</v>
      </c>
    </row>
    <row r="818" spans="1:5" ht="12.75">
      <c r="A818" s="1">
        <v>0.789</v>
      </c>
      <c r="B818" s="29">
        <f t="shared" si="24"/>
        <v>49.743547928382746</v>
      </c>
      <c r="C818" s="29"/>
      <c r="D818" s="29"/>
      <c r="E818" s="58">
        <f t="shared" si="25"/>
        <v>55592.98522063286</v>
      </c>
    </row>
    <row r="819" spans="1:5" ht="12.75">
      <c r="A819" s="1">
        <v>0.79</v>
      </c>
      <c r="B819" s="29">
        <f t="shared" si="24"/>
        <v>49.7467565250491</v>
      </c>
      <c r="C819" s="29"/>
      <c r="D819" s="29"/>
      <c r="E819" s="58">
        <f t="shared" si="25"/>
        <v>55594.843836688924</v>
      </c>
    </row>
    <row r="820" spans="1:5" ht="12.75">
      <c r="A820" s="1">
        <v>0.791</v>
      </c>
      <c r="B820" s="29">
        <f t="shared" si="24"/>
        <v>49.74997411238343</v>
      </c>
      <c r="C820" s="29"/>
      <c r="D820" s="29"/>
      <c r="E820" s="58">
        <f t="shared" si="25"/>
        <v>55596.708967534185</v>
      </c>
    </row>
    <row r="821" spans="1:5" ht="12.75">
      <c r="A821" s="1">
        <v>0.792</v>
      </c>
      <c r="B821" s="29">
        <f t="shared" si="24"/>
        <v>49.75320077997844</v>
      </c>
      <c r="C821" s="29"/>
      <c r="D821" s="29"/>
      <c r="E821" s="58">
        <f t="shared" si="25"/>
        <v>55598.580675977784</v>
      </c>
    </row>
    <row r="822" spans="1:5" ht="12.75">
      <c r="A822" s="1">
        <v>0.793</v>
      </c>
      <c r="B822" s="29">
        <f t="shared" si="24"/>
        <v>49.75643661862917</v>
      </c>
      <c r="C822" s="29"/>
      <c r="D822" s="29"/>
      <c r="E822" s="58">
        <f t="shared" si="25"/>
        <v>55600.459025701384</v>
      </c>
    </row>
    <row r="823" spans="1:5" ht="12.75">
      <c r="A823" s="1">
        <v>0.794</v>
      </c>
      <c r="B823" s="29">
        <f t="shared" si="24"/>
        <v>49.75968172035564</v>
      </c>
      <c r="C823" s="29"/>
      <c r="D823" s="29"/>
      <c r="E823" s="58">
        <f t="shared" si="25"/>
        <v>55602.34408127576</v>
      </c>
    </row>
    <row r="824" spans="1:5" ht="12.75">
      <c r="A824" s="1">
        <v>0.795</v>
      </c>
      <c r="B824" s="29">
        <f t="shared" si="24"/>
        <v>49.7629361784261</v>
      </c>
      <c r="C824" s="29"/>
      <c r="D824" s="29"/>
      <c r="E824" s="58">
        <f t="shared" si="25"/>
        <v>55604.23590817791</v>
      </c>
    </row>
    <row r="825" spans="1:5" ht="12.75">
      <c r="A825" s="1">
        <v>0.796</v>
      </c>
      <c r="B825" s="29">
        <f t="shared" si="24"/>
        <v>49.76620008738087</v>
      </c>
      <c r="C825" s="29"/>
      <c r="D825" s="29"/>
      <c r="E825" s="58">
        <f t="shared" si="25"/>
        <v>55606.13457280838</v>
      </c>
    </row>
    <row r="826" spans="1:5" ht="12.75">
      <c r="A826" s="1">
        <v>0.797</v>
      </c>
      <c r="B826" s="29">
        <f t="shared" si="24"/>
        <v>49.769473543056634</v>
      </c>
      <c r="C826" s="29"/>
      <c r="D826" s="29"/>
      <c r="E826" s="58">
        <f t="shared" si="25"/>
        <v>55608.04014250922</v>
      </c>
    </row>
    <row r="827" spans="1:5" ht="12.75">
      <c r="A827" s="1">
        <v>0.798</v>
      </c>
      <c r="B827" s="29">
        <f t="shared" si="24"/>
        <v>49.772756642611434</v>
      </c>
      <c r="C827" s="29"/>
      <c r="D827" s="29"/>
      <c r="E827" s="58">
        <f t="shared" si="25"/>
        <v>55609.9526855822</v>
      </c>
    </row>
    <row r="828" spans="1:5" ht="12.75">
      <c r="A828" s="1">
        <v>0.799</v>
      </c>
      <c r="B828" s="29">
        <f t="shared" si="24"/>
        <v>49.776049484550185</v>
      </c>
      <c r="C828" s="29"/>
      <c r="D828" s="29"/>
      <c r="E828" s="58">
        <f t="shared" si="25"/>
        <v>55611.87227130751</v>
      </c>
    </row>
    <row r="829" spans="1:5" ht="12.75">
      <c r="A829" s="1">
        <v>0.8</v>
      </c>
      <c r="B829" s="29">
        <f t="shared" si="24"/>
        <v>49.77935216875087</v>
      </c>
      <c r="C829" s="29"/>
      <c r="D829" s="29"/>
      <c r="E829" s="58">
        <f t="shared" si="25"/>
        <v>55613.79896996309</v>
      </c>
    </row>
    <row r="830" spans="1:5" ht="12.75">
      <c r="A830" s="1">
        <v>0.801</v>
      </c>
      <c r="B830" s="29">
        <f t="shared" si="24"/>
        <v>49.782664796491325</v>
      </c>
      <c r="C830" s="29"/>
      <c r="D830" s="29"/>
      <c r="E830" s="58">
        <f t="shared" si="25"/>
        <v>55615.73285284412</v>
      </c>
    </row>
    <row r="831" spans="1:5" ht="12.75">
      <c r="A831" s="1">
        <v>0.802</v>
      </c>
      <c r="B831" s="29">
        <f t="shared" si="24"/>
        <v>49.78598747047672</v>
      </c>
      <c r="C831" s="29"/>
      <c r="D831" s="29"/>
      <c r="E831" s="58">
        <f t="shared" si="25"/>
        <v>55617.67399228331</v>
      </c>
    </row>
    <row r="832" spans="1:5" ht="12.75">
      <c r="A832" s="1">
        <v>0.803</v>
      </c>
      <c r="B832" s="29">
        <f t="shared" si="24"/>
        <v>49.78932029486768</v>
      </c>
      <c r="C832" s="29"/>
      <c r="D832" s="29"/>
      <c r="E832" s="58">
        <f t="shared" si="25"/>
        <v>55619.62246167143</v>
      </c>
    </row>
    <row r="833" spans="1:5" ht="12.75">
      <c r="A833" s="1">
        <v>0.804</v>
      </c>
      <c r="B833" s="29">
        <f t="shared" si="24"/>
        <v>49.792663375309154</v>
      </c>
      <c r="C833" s="29"/>
      <c r="D833" s="29"/>
      <c r="E833" s="58">
        <f t="shared" si="25"/>
        <v>55621.57833547863</v>
      </c>
    </row>
    <row r="834" spans="1:5" ht="12.75">
      <c r="A834" s="1">
        <v>0.805</v>
      </c>
      <c r="B834" s="29">
        <f t="shared" si="24"/>
        <v>49.79601681895992</v>
      </c>
      <c r="C834" s="29"/>
      <c r="D834" s="29"/>
      <c r="E834" s="58">
        <f t="shared" si="25"/>
        <v>55623.541689276026</v>
      </c>
    </row>
    <row r="835" spans="1:5" ht="12.75">
      <c r="A835" s="1">
        <v>0.806</v>
      </c>
      <c r="B835" s="29">
        <f t="shared" si="24"/>
        <v>49.799380734522956</v>
      </c>
      <c r="C835" s="29"/>
      <c r="D835" s="29"/>
      <c r="E835" s="58">
        <f t="shared" si="25"/>
        <v>55625.512599757996</v>
      </c>
    </row>
    <row r="836" spans="1:5" ht="12.75">
      <c r="A836" s="1">
        <v>0.807</v>
      </c>
      <c r="B836" s="29">
        <f t="shared" si="24"/>
        <v>49.80275523227641</v>
      </c>
      <c r="C836" s="29"/>
      <c r="D836" s="29"/>
      <c r="E836" s="58">
        <f t="shared" si="25"/>
        <v>55627.49114476498</v>
      </c>
    </row>
    <row r="837" spans="1:5" ht="12.75">
      <c r="A837" s="1">
        <v>0.808</v>
      </c>
      <c r="B837" s="29">
        <f t="shared" si="24"/>
        <v>49.80614042410552</v>
      </c>
      <c r="C837" s="29"/>
      <c r="D837" s="29"/>
      <c r="E837" s="58">
        <f t="shared" si="25"/>
        <v>55629.47740330694</v>
      </c>
    </row>
    <row r="838" spans="1:5" ht="12.75">
      <c r="A838" s="1">
        <v>0.809</v>
      </c>
      <c r="B838" s="29">
        <f t="shared" si="24"/>
        <v>49.809536423535235</v>
      </c>
      <c r="C838" s="29"/>
      <c r="D838" s="29"/>
      <c r="E838" s="58">
        <f t="shared" si="25"/>
        <v>55631.4714555873</v>
      </c>
    </row>
    <row r="839" spans="1:5" ht="12.75">
      <c r="A839" s="1">
        <v>0.81</v>
      </c>
      <c r="B839" s="29">
        <f t="shared" si="24"/>
        <v>49.812943345763685</v>
      </c>
      <c r="C839" s="29"/>
      <c r="D839" s="29"/>
      <c r="E839" s="58">
        <f t="shared" si="25"/>
        <v>55633.473383027624</v>
      </c>
    </row>
    <row r="840" spans="1:5" ht="12.75">
      <c r="A840" s="1">
        <v>0.811</v>
      </c>
      <c r="B840" s="29">
        <f t="shared" si="24"/>
        <v>49.81636130769658</v>
      </c>
      <c r="C840" s="29"/>
      <c r="D840" s="29"/>
      <c r="E840" s="58">
        <f t="shared" si="25"/>
        <v>55635.48326829287</v>
      </c>
    </row>
    <row r="841" spans="1:5" ht="12.75">
      <c r="A841" s="1">
        <v>0.812</v>
      </c>
      <c r="B841" s="29">
        <f t="shared" si="24"/>
        <v>49.8197904279824</v>
      </c>
      <c r="C841" s="29"/>
      <c r="D841" s="29"/>
      <c r="E841" s="58">
        <f t="shared" si="25"/>
        <v>55637.50119531726</v>
      </c>
    </row>
    <row r="842" spans="1:5" ht="12.75">
      <c r="A842" s="1">
        <v>0.8130000000000001</v>
      </c>
      <c r="B842" s="29">
        <f t="shared" si="24"/>
        <v>49.82323082704856</v>
      </c>
      <c r="C842" s="29"/>
      <c r="D842" s="29"/>
      <c r="E842" s="58">
        <f t="shared" si="25"/>
        <v>55639.52724933097</v>
      </c>
    </row>
    <row r="843" spans="1:5" ht="12.75">
      <c r="A843" s="1">
        <v>0.8140000000000001</v>
      </c>
      <c r="B843" s="29">
        <f t="shared" si="24"/>
        <v>49.82668262713853</v>
      </c>
      <c r="C843" s="29"/>
      <c r="D843" s="29"/>
      <c r="E843" s="58">
        <f t="shared" si="25"/>
        <v>55641.561516887414</v>
      </c>
    </row>
    <row r="844" spans="1:5" ht="12.75">
      <c r="A844" s="1">
        <v>0.815</v>
      </c>
      <c r="B844" s="29">
        <f t="shared" si="24"/>
        <v>49.830145952349895</v>
      </c>
      <c r="C844" s="29"/>
      <c r="D844" s="29"/>
      <c r="E844" s="58">
        <f t="shared" si="25"/>
        <v>55643.60408589126</v>
      </c>
    </row>
    <row r="845" spans="1:5" ht="12.75">
      <c r="A845" s="1">
        <v>0.8160000000000001</v>
      </c>
      <c r="B845" s="29">
        <f t="shared" si="24"/>
        <v>49.83362092867339</v>
      </c>
      <c r="C845" s="29"/>
      <c r="D845" s="29"/>
      <c r="E845" s="58">
        <f t="shared" si="25"/>
        <v>55645.65504562724</v>
      </c>
    </row>
    <row r="846" spans="1:5" ht="12.75">
      <c r="A846" s="1">
        <v>0.8170000000000001</v>
      </c>
      <c r="B846" s="29">
        <f t="shared" si="24"/>
        <v>49.837107684033086</v>
      </c>
      <c r="C846" s="29"/>
      <c r="D846" s="29"/>
      <c r="E846" s="58">
        <f t="shared" si="25"/>
        <v>55647.714486789664</v>
      </c>
    </row>
    <row r="847" spans="1:5" ht="12.75">
      <c r="A847" s="1">
        <v>0.8180000000000001</v>
      </c>
      <c r="B847" s="29">
        <f t="shared" si="24"/>
        <v>49.84060634832751</v>
      </c>
      <c r="C847" s="29"/>
      <c r="D847" s="29"/>
      <c r="E847" s="58">
        <f t="shared" si="25"/>
        <v>55649.78250151283</v>
      </c>
    </row>
    <row r="848" spans="1:5" ht="12.75">
      <c r="A848" s="1">
        <v>0.8190000000000001</v>
      </c>
      <c r="B848" s="29">
        <f t="shared" si="24"/>
        <v>49.84411705347198</v>
      </c>
      <c r="C848" s="29"/>
      <c r="D848" s="29"/>
      <c r="E848" s="58">
        <f t="shared" si="25"/>
        <v>55651.85918340216</v>
      </c>
    </row>
    <row r="849" spans="1:5" ht="12.75">
      <c r="A849" s="1">
        <v>0.82</v>
      </c>
      <c r="B849" s="29">
        <f t="shared" si="24"/>
        <v>49.84763993344201</v>
      </c>
      <c r="C849" s="29"/>
      <c r="D849" s="29"/>
      <c r="E849" s="58">
        <f t="shared" si="25"/>
        <v>55653.94462756624</v>
      </c>
    </row>
    <row r="850" spans="1:5" ht="12.75">
      <c r="A850" s="1">
        <v>0.8210000000000001</v>
      </c>
      <c r="B850" s="29">
        <f t="shared" si="24"/>
        <v>49.851175124317926</v>
      </c>
      <c r="C850" s="29"/>
      <c r="D850" s="29"/>
      <c r="E850" s="58">
        <f t="shared" si="25"/>
        <v>55656.03893064975</v>
      </c>
    </row>
    <row r="851" spans="1:5" ht="12.75">
      <c r="A851" s="1">
        <v>0.8220000000000001</v>
      </c>
      <c r="B851" s="29">
        <f t="shared" si="24"/>
        <v>49.8547227643307</v>
      </c>
      <c r="C851" s="29"/>
      <c r="D851" s="29"/>
      <c r="E851" s="58">
        <f t="shared" si="25"/>
        <v>55658.14219086726</v>
      </c>
    </row>
    <row r="852" spans="1:5" ht="12.75">
      <c r="A852" s="1">
        <v>0.8230000000000001</v>
      </c>
      <c r="B852" s="29">
        <f t="shared" si="24"/>
        <v>49.85828299390905</v>
      </c>
      <c r="C852" s="29"/>
      <c r="D852" s="29"/>
      <c r="E852" s="58">
        <f t="shared" si="25"/>
        <v>55660.254508037964</v>
      </c>
    </row>
    <row r="853" spans="1:5" ht="12.75">
      <c r="A853" s="1">
        <v>0.8240000000000001</v>
      </c>
      <c r="B853" s="29">
        <f t="shared" si="24"/>
        <v>49.86185595572779</v>
      </c>
      <c r="C853" s="29"/>
      <c r="D853" s="29"/>
      <c r="E853" s="58">
        <f t="shared" si="25"/>
        <v>55662.375983621445</v>
      </c>
    </row>
    <row r="854" spans="1:5" ht="12.75">
      <c r="A854" s="1">
        <v>0.825</v>
      </c>
      <c r="B854" s="29">
        <f t="shared" si="24"/>
        <v>49.86544179475761</v>
      </c>
      <c r="C854" s="29"/>
      <c r="D854" s="29"/>
      <c r="E854" s="58">
        <f t="shared" si="25"/>
        <v>55664.50672075437</v>
      </c>
    </row>
    <row r="855" spans="1:5" ht="12.75">
      <c r="A855" s="1">
        <v>0.8260000000000001</v>
      </c>
      <c r="B855" s="29">
        <f t="shared" si="24"/>
        <v>49.86904065831613</v>
      </c>
      <c r="C855" s="29"/>
      <c r="D855" s="29"/>
      <c r="E855" s="58">
        <f t="shared" si="25"/>
        <v>55666.64682428826</v>
      </c>
    </row>
    <row r="856" spans="1:5" ht="12.75">
      <c r="A856" s="1">
        <v>0.8270000000000001</v>
      </c>
      <c r="B856" s="29">
        <f t="shared" si="24"/>
        <v>49.87265269612055</v>
      </c>
      <c r="C856" s="29"/>
      <c r="D856" s="29"/>
      <c r="E856" s="58">
        <f t="shared" si="25"/>
        <v>55668.79640082838</v>
      </c>
    </row>
    <row r="857" spans="1:5" ht="12.75">
      <c r="A857" s="1">
        <v>0.8280000000000001</v>
      </c>
      <c r="B857" s="29">
        <f t="shared" si="24"/>
        <v>49.876278060341576</v>
      </c>
      <c r="C857" s="29"/>
      <c r="D857" s="29"/>
      <c r="E857" s="58">
        <f t="shared" si="25"/>
        <v>55670.95555877357</v>
      </c>
    </row>
    <row r="858" spans="1:5" ht="12.75">
      <c r="A858" s="1">
        <v>0.8290000000000001</v>
      </c>
      <c r="B858" s="29">
        <f t="shared" si="24"/>
        <v>49.87991690565911</v>
      </c>
      <c r="C858" s="29"/>
      <c r="D858" s="29"/>
      <c r="E858" s="58">
        <f t="shared" si="25"/>
        <v>55673.12440835742</v>
      </c>
    </row>
    <row r="859" spans="1:5" ht="12.75">
      <c r="A859" s="1">
        <v>0.83</v>
      </c>
      <c r="B859" s="29">
        <f t="shared" si="24"/>
        <v>49.88356938931934</v>
      </c>
      <c r="C859" s="29"/>
      <c r="D859" s="29"/>
      <c r="E859" s="58">
        <f t="shared" si="25"/>
        <v>55675.303061690574</v>
      </c>
    </row>
    <row r="860" spans="1:5" ht="12.75">
      <c r="A860" s="1">
        <v>0.8310000000000001</v>
      </c>
      <c r="B860" s="29">
        <f t="shared" si="24"/>
        <v>49.88723567119357</v>
      </c>
      <c r="C860" s="29"/>
      <c r="D860" s="29"/>
      <c r="E860" s="58">
        <f t="shared" si="25"/>
        <v>55677.491632804165</v>
      </c>
    </row>
    <row r="861" spans="1:5" ht="12.75">
      <c r="A861" s="1">
        <v>0.8320000000000001</v>
      </c>
      <c r="B861" s="29">
        <f t="shared" si="24"/>
        <v>49.890915913838754</v>
      </c>
      <c r="C861" s="29"/>
      <c r="D861" s="29"/>
      <c r="E861" s="58">
        <f t="shared" si="25"/>
        <v>55679.690237694624</v>
      </c>
    </row>
    <row r="862" spans="1:5" ht="12.75">
      <c r="A862" s="1">
        <v>0.8330000000000001</v>
      </c>
      <c r="B862" s="29">
        <f t="shared" si="24"/>
        <v>49.894610282559746</v>
      </c>
      <c r="C862" s="29"/>
      <c r="D862" s="29"/>
      <c r="E862" s="58">
        <f t="shared" si="25"/>
        <v>55681.89899436981</v>
      </c>
    </row>
    <row r="863" spans="1:5" ht="12.75">
      <c r="A863" s="1">
        <v>0.834</v>
      </c>
      <c r="B863" s="29">
        <f aca="true" t="shared" si="26" ref="B863:B926">$C$6+NORMSINV($A863)*$C$11*$C$6</f>
        <v>49.8983189454734</v>
      </c>
      <c r="C863" s="29"/>
      <c r="D863" s="29"/>
      <c r="E863" s="58">
        <f aca="true" t="shared" si="27" ref="E863:E926">EPortfolio($C$5+1/252,$B863,$C$7,$C$8,$C$9,,$C$10,$H$7:$L$10,0)</f>
        <v>55684.118022896415</v>
      </c>
    </row>
    <row r="864" spans="1:5" ht="12.75">
      <c r="A864" s="1">
        <v>0.835</v>
      </c>
      <c r="B864" s="29">
        <f t="shared" si="26"/>
        <v>49.902042073574556</v>
      </c>
      <c r="C864" s="29"/>
      <c r="D864" s="29"/>
      <c r="E864" s="58">
        <f t="shared" si="27"/>
        <v>55686.34744544889</v>
      </c>
    </row>
    <row r="865" spans="1:5" ht="12.75">
      <c r="A865" s="1">
        <v>0.836</v>
      </c>
      <c r="B865" s="29">
        <f t="shared" si="26"/>
        <v>49.905779840804</v>
      </c>
      <c r="C865" s="29"/>
      <c r="D865" s="29"/>
      <c r="E865" s="58">
        <f t="shared" si="27"/>
        <v>55688.58738635977</v>
      </c>
    </row>
    <row r="866" spans="1:5" ht="12.75">
      <c r="A866" s="1">
        <v>0.837</v>
      </c>
      <c r="B866" s="29">
        <f t="shared" si="26"/>
        <v>49.909532424118396</v>
      </c>
      <c r="C866" s="29"/>
      <c r="D866" s="29"/>
      <c r="E866" s="58">
        <f t="shared" si="27"/>
        <v>55690.83797217152</v>
      </c>
    </row>
    <row r="867" spans="1:5" ht="12.75">
      <c r="A867" s="1">
        <v>0.838</v>
      </c>
      <c r="B867" s="29">
        <f t="shared" si="26"/>
        <v>49.91330000356239</v>
      </c>
      <c r="C867" s="29"/>
      <c r="D867" s="29"/>
      <c r="E867" s="58">
        <f t="shared" si="27"/>
        <v>55693.09933168994</v>
      </c>
    </row>
    <row r="868" spans="1:5" ht="12.75">
      <c r="A868" s="1">
        <v>0.839</v>
      </c>
      <c r="B868" s="29">
        <f t="shared" si="26"/>
        <v>49.91708276234282</v>
      </c>
      <c r="C868" s="29"/>
      <c r="D868" s="29"/>
      <c r="E868" s="58">
        <f t="shared" si="27"/>
        <v>55695.37159603931</v>
      </c>
    </row>
    <row r="869" spans="1:5" ht="12.75">
      <c r="A869" s="1">
        <v>0.84</v>
      </c>
      <c r="B869" s="29">
        <f t="shared" si="26"/>
        <v>49.92088088690525</v>
      </c>
      <c r="C869" s="29"/>
      <c r="D869" s="29"/>
      <c r="E869" s="58">
        <f t="shared" si="27"/>
        <v>55697.654898719054</v>
      </c>
    </row>
    <row r="870" spans="1:5" ht="12.75">
      <c r="A870" s="1">
        <v>0.841</v>
      </c>
      <c r="B870" s="29">
        <f t="shared" si="26"/>
        <v>49.92469456701278</v>
      </c>
      <c r="C870" s="29"/>
      <c r="D870" s="29"/>
      <c r="E870" s="58">
        <f t="shared" si="27"/>
        <v>55699.94937566226</v>
      </c>
    </row>
    <row r="871" spans="1:5" ht="12.75">
      <c r="A871" s="1">
        <v>0.842</v>
      </c>
      <c r="B871" s="29">
        <f t="shared" si="26"/>
        <v>49.92852399582731</v>
      </c>
      <c r="C871" s="29"/>
      <c r="D871" s="29"/>
      <c r="E871" s="58">
        <f t="shared" si="27"/>
        <v>55702.255165296054</v>
      </c>
    </row>
    <row r="872" spans="1:5" ht="12.75">
      <c r="A872" s="1">
        <v>0.843</v>
      </c>
      <c r="B872" s="29">
        <f t="shared" si="26"/>
        <v>49.93236936999335</v>
      </c>
      <c r="C872" s="29"/>
      <c r="D872" s="29"/>
      <c r="E872" s="58">
        <f t="shared" si="27"/>
        <v>55704.57240860372</v>
      </c>
    </row>
    <row r="873" spans="1:5" ht="12.75">
      <c r="A873" s="1">
        <v>0.844</v>
      </c>
      <c r="B873" s="29">
        <f t="shared" si="26"/>
        <v>49.93623088972438</v>
      </c>
      <c r="C873" s="29"/>
      <c r="D873" s="29"/>
      <c r="E873" s="58">
        <f t="shared" si="27"/>
        <v>55706.90124918897</v>
      </c>
    </row>
    <row r="874" spans="1:5" ht="12.75">
      <c r="A874" s="1">
        <v>0.845</v>
      </c>
      <c r="B874" s="29">
        <f t="shared" si="26"/>
        <v>49.94010875889197</v>
      </c>
      <c r="C874" s="29"/>
      <c r="D874" s="29"/>
      <c r="E874" s="58">
        <f t="shared" si="27"/>
        <v>55709.24302063075</v>
      </c>
    </row>
    <row r="875" spans="1:5" ht="12.75">
      <c r="A875" s="1">
        <v>0.846</v>
      </c>
      <c r="B875" s="29">
        <f t="shared" si="26"/>
        <v>49.944003185117666</v>
      </c>
      <c r="C875" s="29"/>
      <c r="D875" s="29"/>
      <c r="E875" s="58">
        <f t="shared" si="27"/>
        <v>55711.5954981235</v>
      </c>
    </row>
    <row r="876" spans="1:5" ht="12.75">
      <c r="A876" s="1">
        <v>0.847</v>
      </c>
      <c r="B876" s="29">
        <f t="shared" si="26"/>
        <v>49.947914379867875</v>
      </c>
      <c r="C876" s="29"/>
      <c r="D876" s="29"/>
      <c r="E876" s="58">
        <f t="shared" si="27"/>
        <v>55713.96002091054</v>
      </c>
    </row>
    <row r="877" spans="1:5" ht="12.75">
      <c r="A877" s="1">
        <v>0.848</v>
      </c>
      <c r="B877" s="29">
        <f t="shared" si="26"/>
        <v>49.951842558551704</v>
      </c>
      <c r="C877" s="29"/>
      <c r="D877" s="29"/>
      <c r="E877" s="58">
        <f t="shared" si="27"/>
        <v>55716.340552466136</v>
      </c>
    </row>
    <row r="878" spans="1:5" ht="12.75">
      <c r="A878" s="1">
        <v>0.849</v>
      </c>
      <c r="B878" s="29">
        <f t="shared" si="26"/>
        <v>49.95578794062197</v>
      </c>
      <c r="C878" s="29"/>
      <c r="D878" s="29"/>
      <c r="E878" s="58">
        <f t="shared" si="27"/>
        <v>55718.72963550464</v>
      </c>
    </row>
    <row r="879" spans="1:5" ht="12.75">
      <c r="A879" s="1">
        <v>0.85</v>
      </c>
      <c r="B879" s="29">
        <f t="shared" si="26"/>
        <v>49.95975074967951</v>
      </c>
      <c r="C879" s="29"/>
      <c r="D879" s="29"/>
      <c r="E879" s="58">
        <f t="shared" si="27"/>
        <v>55721.13124051997</v>
      </c>
    </row>
    <row r="880" spans="1:5" ht="12.75">
      <c r="A880" s="1">
        <v>0.851</v>
      </c>
      <c r="B880" s="29">
        <f t="shared" si="26"/>
        <v>49.96373121358088</v>
      </c>
      <c r="C880" s="29"/>
      <c r="D880" s="29"/>
      <c r="E880" s="58">
        <f t="shared" si="27"/>
        <v>55723.54553149159</v>
      </c>
    </row>
    <row r="881" spans="1:5" ht="12.75">
      <c r="A881" s="1">
        <v>0.852</v>
      </c>
      <c r="B881" s="29">
        <f t="shared" si="26"/>
        <v>49.96772956454959</v>
      </c>
      <c r="C881" s="29"/>
      <c r="D881" s="29"/>
      <c r="E881" s="58">
        <f t="shared" si="27"/>
        <v>55725.972675614306</v>
      </c>
    </row>
    <row r="882" spans="1:5" ht="12.75">
      <c r="A882" s="1">
        <v>0.853</v>
      </c>
      <c r="B882" s="29">
        <f t="shared" si="26"/>
        <v>49.97174603929103</v>
      </c>
      <c r="C882" s="29"/>
      <c r="D882" s="29"/>
      <c r="E882" s="58">
        <f t="shared" si="27"/>
        <v>55728.412843383856</v>
      </c>
    </row>
    <row r="883" spans="1:5" ht="12.75">
      <c r="A883" s="1">
        <v>0.854</v>
      </c>
      <c r="B883" s="29">
        <f t="shared" si="26"/>
        <v>49.97578087911117</v>
      </c>
      <c r="C883" s="29"/>
      <c r="D883" s="29"/>
      <c r="E883" s="58">
        <f t="shared" si="27"/>
        <v>55730.866208685504</v>
      </c>
    </row>
    <row r="884" spans="1:5" ht="12.75">
      <c r="A884" s="1">
        <v>0.855</v>
      </c>
      <c r="B884" s="29">
        <f t="shared" si="26"/>
        <v>49.979834330039346</v>
      </c>
      <c r="C884" s="29"/>
      <c r="D884" s="29"/>
      <c r="E884" s="58">
        <f t="shared" si="27"/>
        <v>55733.332948885516</v>
      </c>
    </row>
    <row r="885" spans="1:5" ht="12.75">
      <c r="A885" s="1">
        <v>0.856</v>
      </c>
      <c r="B885" s="29">
        <f t="shared" si="26"/>
        <v>49.983906642955105</v>
      </c>
      <c r="C885" s="29"/>
      <c r="D885" s="29"/>
      <c r="E885" s="58">
        <f t="shared" si="27"/>
        <v>55735.81324492582</v>
      </c>
    </row>
    <row r="886" spans="1:5" ht="12.75">
      <c r="A886" s="1">
        <v>0.857</v>
      </c>
      <c r="B886" s="29">
        <f t="shared" si="26"/>
        <v>49.98799807371935</v>
      </c>
      <c r="C886" s="29"/>
      <c r="D886" s="29"/>
      <c r="E886" s="58">
        <f t="shared" si="27"/>
        <v>55738.307281421905</v>
      </c>
    </row>
    <row r="887" spans="1:5" ht="12.75">
      <c r="A887" s="1">
        <v>0.858</v>
      </c>
      <c r="B887" s="29">
        <f t="shared" si="26"/>
        <v>49.9921088833101</v>
      </c>
      <c r="C887" s="29"/>
      <c r="D887" s="29"/>
      <c r="E887" s="58">
        <f t="shared" si="27"/>
        <v>55740.8152467641</v>
      </c>
    </row>
    <row r="888" spans="1:5" ht="12.75">
      <c r="A888" s="1">
        <v>0.859</v>
      </c>
      <c r="B888" s="29">
        <f t="shared" si="26"/>
        <v>49.99623933796275</v>
      </c>
      <c r="C888" s="29"/>
      <c r="D888" s="29"/>
      <c r="E888" s="58">
        <f t="shared" si="27"/>
        <v>55743.3373332224</v>
      </c>
    </row>
    <row r="889" spans="1:5" ht="12.75">
      <c r="A889" s="1">
        <v>0.86</v>
      </c>
      <c r="B889" s="29">
        <f t="shared" si="26"/>
        <v>50.000389709315364</v>
      </c>
      <c r="C889" s="29"/>
      <c r="D889" s="29"/>
      <c r="E889" s="58">
        <f t="shared" si="27"/>
        <v>55745.87373705497</v>
      </c>
    </row>
    <row r="890" spans="1:5" ht="12.75">
      <c r="A890" s="1">
        <v>0.861</v>
      </c>
      <c r="B890" s="29">
        <f t="shared" si="26"/>
        <v>50.00456027455897</v>
      </c>
      <c r="C890" s="29"/>
      <c r="D890" s="29"/>
      <c r="E890" s="58">
        <f t="shared" si="27"/>
        <v>55748.424658620424</v>
      </c>
    </row>
    <row r="891" spans="1:5" ht="12.75">
      <c r="A891" s="1">
        <v>0.862</v>
      </c>
      <c r="B891" s="29">
        <f t="shared" si="26"/>
        <v>50.008751316593155</v>
      </c>
      <c r="C891" s="29"/>
      <c r="D891" s="29"/>
      <c r="E891" s="58">
        <f t="shared" si="27"/>
        <v>55750.99030249419</v>
      </c>
    </row>
    <row r="892" spans="1:5" ht="12.75">
      <c r="A892" s="1">
        <v>0.863</v>
      </c>
      <c r="B892" s="29">
        <f t="shared" si="26"/>
        <v>50.01296312418722</v>
      </c>
      <c r="C892" s="29"/>
      <c r="D892" s="29"/>
      <c r="E892" s="58">
        <f t="shared" si="27"/>
        <v>55753.57087758902</v>
      </c>
    </row>
    <row r="893" spans="1:5" ht="12.75">
      <c r="A893" s="1">
        <v>0.864</v>
      </c>
      <c r="B893" s="29">
        <f t="shared" si="26"/>
        <v>50.01719599214704</v>
      </c>
      <c r="C893" s="29"/>
      <c r="D893" s="29"/>
      <c r="E893" s="58">
        <f t="shared" si="27"/>
        <v>55756.16659727977</v>
      </c>
    </row>
    <row r="894" spans="1:5" ht="12.75">
      <c r="A894" s="1">
        <v>0.865</v>
      </c>
      <c r="B894" s="29">
        <f t="shared" si="26"/>
        <v>50.02145022148797</v>
      </c>
      <c r="C894" s="29"/>
      <c r="D894" s="29"/>
      <c r="E894" s="58">
        <f t="shared" si="27"/>
        <v>55758.77767953287</v>
      </c>
    </row>
    <row r="895" spans="1:5" ht="12.75">
      <c r="A895" s="1">
        <v>0.866</v>
      </c>
      <c r="B895" s="29">
        <f t="shared" si="26"/>
        <v>50.02572611961406</v>
      </c>
      <c r="C895" s="29"/>
      <c r="D895" s="29"/>
      <c r="E895" s="58">
        <f t="shared" si="27"/>
        <v>55761.40434704039</v>
      </c>
    </row>
    <row r="896" spans="1:5" ht="12.75">
      <c r="A896" s="1">
        <v>0.867</v>
      </c>
      <c r="B896" s="29">
        <f t="shared" si="26"/>
        <v>50.03002400050376</v>
      </c>
      <c r="C896" s="29"/>
      <c r="D896" s="29"/>
      <c r="E896" s="58">
        <f t="shared" si="27"/>
        <v>55764.04682735922</v>
      </c>
    </row>
    <row r="897" spans="1:5" ht="12.75">
      <c r="A897" s="1">
        <v>0.868</v>
      </c>
      <c r="B897" s="29">
        <f t="shared" si="26"/>
        <v>50.03434418490245</v>
      </c>
      <c r="C897" s="29"/>
      <c r="D897" s="29"/>
      <c r="E897" s="58">
        <f t="shared" si="27"/>
        <v>55766.705353055215</v>
      </c>
    </row>
    <row r="898" spans="1:5" ht="12.75">
      <c r="A898" s="1">
        <v>0.869</v>
      </c>
      <c r="B898" s="29">
        <f t="shared" si="26"/>
        <v>50.03868700052223</v>
      </c>
      <c r="C898" s="29"/>
      <c r="D898" s="29"/>
      <c r="E898" s="58">
        <f t="shared" si="27"/>
        <v>55769.38016185295</v>
      </c>
    </row>
    <row r="899" spans="1:5" ht="12.75">
      <c r="A899" s="1">
        <v>0.87</v>
      </c>
      <c r="B899" s="29">
        <f t="shared" si="26"/>
        <v>50.04305278224908</v>
      </c>
      <c r="C899" s="29"/>
      <c r="D899" s="29"/>
      <c r="E899" s="58">
        <f t="shared" si="27"/>
        <v>55772.071496791046</v>
      </c>
    </row>
    <row r="900" spans="1:5" ht="12.75">
      <c r="A900" s="1">
        <v>0.871</v>
      </c>
      <c r="B900" s="29">
        <f t="shared" si="26"/>
        <v>50.04744187235782</v>
      </c>
      <c r="C900" s="29"/>
      <c r="D900" s="29"/>
      <c r="E900" s="58">
        <f t="shared" si="27"/>
        <v>55774.77960638337</v>
      </c>
    </row>
    <row r="901" spans="1:5" ht="12.75">
      <c r="A901" s="1">
        <v>0.872</v>
      </c>
      <c r="B901" s="29">
        <f t="shared" si="26"/>
        <v>50.051854620735355</v>
      </c>
      <c r="C901" s="29"/>
      <c r="D901" s="29"/>
      <c r="E901" s="58">
        <f t="shared" si="27"/>
        <v>55777.50474478652</v>
      </c>
    </row>
    <row r="902" spans="1:5" ht="12.75">
      <c r="A902" s="1">
        <v>0.873</v>
      </c>
      <c r="B902" s="29">
        <f t="shared" si="26"/>
        <v>50.056291385112324</v>
      </c>
      <c r="C902" s="29"/>
      <c r="D902" s="29"/>
      <c r="E902" s="58">
        <f t="shared" si="27"/>
        <v>55780.247171973686</v>
      </c>
    </row>
    <row r="903" spans="1:5" ht="12.75">
      <c r="A903" s="1">
        <v>0.874</v>
      </c>
      <c r="B903" s="29">
        <f t="shared" si="26"/>
        <v>50.0607525313038</v>
      </c>
      <c r="C903" s="29"/>
      <c r="D903" s="29"/>
      <c r="E903" s="58">
        <f t="shared" si="27"/>
        <v>55783.00715391537</v>
      </c>
    </row>
    <row r="904" spans="1:5" ht="12.75">
      <c r="A904" s="1">
        <v>0.875</v>
      </c>
      <c r="B904" s="29">
        <f t="shared" si="26"/>
        <v>50.06523843345926</v>
      </c>
      <c r="C904" s="29"/>
      <c r="D904" s="29"/>
      <c r="E904" s="58">
        <f t="shared" si="27"/>
        <v>55785.78496276717</v>
      </c>
    </row>
    <row r="905" spans="1:5" ht="12.75">
      <c r="A905" s="1">
        <v>0.876</v>
      </c>
      <c r="B905" s="29">
        <f t="shared" si="26"/>
        <v>50.06974947432245</v>
      </c>
      <c r="C905" s="29"/>
      <c r="D905" s="29"/>
      <c r="E905" s="58">
        <f t="shared" si="27"/>
        <v>55788.58087706495</v>
      </c>
    </row>
    <row r="906" spans="1:5" ht="12.75">
      <c r="A906" s="1">
        <v>0.877</v>
      </c>
      <c r="B906" s="29">
        <f t="shared" si="26"/>
        <v>50.07428604550147</v>
      </c>
      <c r="C906" s="29"/>
      <c r="D906" s="29"/>
      <c r="E906" s="58">
        <f t="shared" si="27"/>
        <v>55791.395181927954</v>
      </c>
    </row>
    <row r="907" spans="1:5" ht="12.75">
      <c r="A907" s="1">
        <v>0.878</v>
      </c>
      <c r="B907" s="29">
        <f t="shared" si="26"/>
        <v>50.07884854774964</v>
      </c>
      <c r="C907" s="29"/>
      <c r="D907" s="29"/>
      <c r="E907" s="58">
        <f t="shared" si="27"/>
        <v>55794.22816926996</v>
      </c>
    </row>
    <row r="908" spans="1:5" ht="12.75">
      <c r="A908" s="1">
        <v>0.879</v>
      </c>
      <c r="B908" s="29">
        <f t="shared" si="26"/>
        <v>50.08343739125759</v>
      </c>
      <c r="C908" s="29"/>
      <c r="D908" s="29"/>
      <c r="E908" s="58">
        <f t="shared" si="27"/>
        <v>55797.08013801898</v>
      </c>
    </row>
    <row r="909" spans="1:5" ht="12.75">
      <c r="A909" s="1">
        <v>0.88</v>
      </c>
      <c r="B909" s="29">
        <f t="shared" si="26"/>
        <v>50.088052995957355</v>
      </c>
      <c r="C909" s="29"/>
      <c r="D909" s="29"/>
      <c r="E909" s="58">
        <f t="shared" si="27"/>
        <v>55799.95139434615</v>
      </c>
    </row>
    <row r="910" spans="1:5" ht="12.75">
      <c r="A910" s="1">
        <v>0.881</v>
      </c>
      <c r="B910" s="29">
        <f t="shared" si="26"/>
        <v>50.09269579183867</v>
      </c>
      <c r="C910" s="29"/>
      <c r="D910" s="29"/>
      <c r="E910" s="58">
        <f t="shared" si="27"/>
        <v>55802.842251903836</v>
      </c>
    </row>
    <row r="911" spans="1:5" ht="12.75">
      <c r="A911" s="1">
        <v>0.882</v>
      </c>
      <c r="B911" s="29">
        <f t="shared" si="26"/>
        <v>50.09736621927852</v>
      </c>
      <c r="C911" s="29"/>
      <c r="D911" s="29"/>
      <c r="E911" s="58">
        <f t="shared" si="27"/>
        <v>55805.75303207379</v>
      </c>
    </row>
    <row r="912" spans="1:5" ht="12.75">
      <c r="A912" s="1">
        <v>0.883</v>
      </c>
      <c r="B912" s="29">
        <f t="shared" si="26"/>
        <v>50.10206472938418</v>
      </c>
      <c r="C912" s="29"/>
      <c r="D912" s="29"/>
      <c r="E912" s="58">
        <f t="shared" si="27"/>
        <v>55808.68406422568</v>
      </c>
    </row>
    <row r="913" spans="1:5" ht="12.75">
      <c r="A913" s="1">
        <v>0.884</v>
      </c>
      <c r="B913" s="29">
        <f t="shared" si="26"/>
        <v>50.10679178435082</v>
      </c>
      <c r="C913" s="29"/>
      <c r="D913" s="29"/>
      <c r="E913" s="58">
        <f t="shared" si="27"/>
        <v>55811.63568598655</v>
      </c>
    </row>
    <row r="914" spans="1:5" ht="12.75">
      <c r="A914" s="1">
        <v>0.885</v>
      </c>
      <c r="B914" s="29">
        <f t="shared" si="26"/>
        <v>50.1115478578341</v>
      </c>
      <c r="C914" s="29"/>
      <c r="D914" s="29"/>
      <c r="E914" s="58">
        <f t="shared" si="27"/>
        <v>55814.60824352184</v>
      </c>
    </row>
    <row r="915" spans="1:5" ht="12.75">
      <c r="A915" s="1">
        <v>0.886</v>
      </c>
      <c r="B915" s="29">
        <f t="shared" si="26"/>
        <v>50.116333435338724</v>
      </c>
      <c r="C915" s="29"/>
      <c r="D915" s="29"/>
      <c r="E915" s="58">
        <f t="shared" si="27"/>
        <v>55817.6020918285</v>
      </c>
    </row>
    <row r="916" spans="1:5" ht="12.75">
      <c r="A916" s="1">
        <v>0.887</v>
      </c>
      <c r="B916" s="29">
        <f t="shared" si="26"/>
        <v>50.1211490146237</v>
      </c>
      <c r="C916" s="29"/>
      <c r="D916" s="29"/>
      <c r="E916" s="58">
        <f t="shared" si="27"/>
        <v>55820.61759504068</v>
      </c>
    </row>
    <row r="917" spans="1:5" ht="12.75">
      <c r="A917" s="1">
        <v>0.888</v>
      </c>
      <c r="B917" s="29">
        <f t="shared" si="26"/>
        <v>50.12599510612515</v>
      </c>
      <c r="C917" s="29"/>
      <c r="D917" s="29"/>
      <c r="E917" s="58">
        <f t="shared" si="27"/>
        <v>55823.65512674919</v>
      </c>
    </row>
    <row r="918" spans="1:5" ht="12.75">
      <c r="A918" s="1">
        <v>0.889</v>
      </c>
      <c r="B918" s="29">
        <f t="shared" si="26"/>
        <v>50.13087223339775</v>
      </c>
      <c r="C918" s="29"/>
      <c r="D918" s="29"/>
      <c r="E918" s="58">
        <f t="shared" si="27"/>
        <v>55826.71507033467</v>
      </c>
    </row>
    <row r="919" spans="1:5" ht="12.75">
      <c r="A919" s="1">
        <v>0.89</v>
      </c>
      <c r="B919" s="29">
        <f t="shared" si="26"/>
        <v>50.13578093357556</v>
      </c>
      <c r="C919" s="29"/>
      <c r="D919" s="29"/>
      <c r="E919" s="58">
        <f t="shared" si="27"/>
        <v>55829.797819315965</v>
      </c>
    </row>
    <row r="920" spans="1:5" ht="12.75">
      <c r="A920" s="1">
        <v>0.891</v>
      </c>
      <c r="B920" s="29">
        <f t="shared" si="26"/>
        <v>50.14072175785346</v>
      </c>
      <c r="C920" s="29"/>
      <c r="D920" s="29"/>
      <c r="E920" s="58">
        <f t="shared" si="27"/>
        <v>55832.90377771395</v>
      </c>
    </row>
    <row r="921" spans="1:5" ht="12.75">
      <c r="A921" s="1">
        <v>0.892</v>
      </c>
      <c r="B921" s="29">
        <f t="shared" si="26"/>
        <v>50.145695271990334</v>
      </c>
      <c r="C921" s="29"/>
      <c r="D921" s="29"/>
      <c r="E921" s="58">
        <f t="shared" si="27"/>
        <v>55836.03336043212</v>
      </c>
    </row>
    <row r="922" spans="1:5" ht="12.75">
      <c r="A922" s="1">
        <v>0.893</v>
      </c>
      <c r="B922" s="29">
        <f t="shared" si="26"/>
        <v>50.15070205683496</v>
      </c>
      <c r="C922" s="29"/>
      <c r="D922" s="29"/>
      <c r="E922" s="58">
        <f t="shared" si="27"/>
        <v>55839.18699365445</v>
      </c>
    </row>
    <row r="923" spans="1:5" ht="12.75">
      <c r="A923" s="1">
        <v>0.894</v>
      </c>
      <c r="B923" s="29">
        <f t="shared" si="26"/>
        <v>50.155742708876176</v>
      </c>
      <c r="C923" s="29"/>
      <c r="D923" s="29"/>
      <c r="E923" s="58">
        <f t="shared" si="27"/>
        <v>55842.36511526182</v>
      </c>
    </row>
    <row r="924" spans="1:5" ht="12.75">
      <c r="A924" s="1">
        <v>0.895</v>
      </c>
      <c r="B924" s="29">
        <f t="shared" si="26"/>
        <v>50.16081784081846</v>
      </c>
      <c r="C924" s="29"/>
      <c r="D924" s="29"/>
      <c r="E924" s="58">
        <f t="shared" si="27"/>
        <v>55845.568175267836</v>
      </c>
    </row>
    <row r="925" spans="1:5" ht="12.75">
      <c r="A925" s="1">
        <v>0.896</v>
      </c>
      <c r="B925" s="29">
        <f t="shared" si="26"/>
        <v>50.16592808218437</v>
      </c>
      <c r="C925" s="29"/>
      <c r="D925" s="29"/>
      <c r="E925" s="58">
        <f t="shared" si="27"/>
        <v>55848.79663627526</v>
      </c>
    </row>
    <row r="926" spans="1:5" ht="12.75">
      <c r="A926" s="1">
        <v>0.897</v>
      </c>
      <c r="B926" s="29">
        <f t="shared" si="26"/>
        <v>50.17107407994553</v>
      </c>
      <c r="C926" s="29"/>
      <c r="D926" s="29"/>
      <c r="E926" s="58">
        <f t="shared" si="27"/>
        <v>55852.05097395422</v>
      </c>
    </row>
    <row r="927" spans="1:5" ht="12.75">
      <c r="A927" s="1">
        <v>0.898</v>
      </c>
      <c r="B927" s="29">
        <f aca="true" t="shared" si="28" ref="B927:B990">$C$6+NORMSINV($A927)*$C$11*$C$6</f>
        <v>50.17625649918359</v>
      </c>
      <c r="C927" s="29"/>
      <c r="D927" s="29"/>
      <c r="E927" s="58">
        <f aca="true" t="shared" si="29" ref="E927:E990">EPortfolio($C$5+1/252,$B927,$C$7,$C$8,$C$9,,$C$10,$H$7:$L$10,0)</f>
        <v>55855.331677543356</v>
      </c>
    </row>
    <row r="928" spans="1:5" ht="12.75">
      <c r="A928" s="1">
        <v>0.899</v>
      </c>
      <c r="B928" s="29">
        <f t="shared" si="28"/>
        <v>50.18147602378304</v>
      </c>
      <c r="C928" s="29"/>
      <c r="D928" s="29"/>
      <c r="E928" s="58">
        <f t="shared" si="29"/>
        <v>55858.639250375396</v>
      </c>
    </row>
    <row r="929" spans="1:5" ht="12.75">
      <c r="A929" s="1">
        <v>0.9</v>
      </c>
      <c r="B929" s="29">
        <f t="shared" si="28"/>
        <v>50.18673335715778</v>
      </c>
      <c r="C929" s="29"/>
      <c r="D929" s="29"/>
      <c r="E929" s="58">
        <f t="shared" si="29"/>
        <v>55861.9742104286</v>
      </c>
    </row>
    <row r="930" spans="1:5" ht="12.75">
      <c r="A930" s="1">
        <v>0.901</v>
      </c>
      <c r="B930" s="29">
        <f t="shared" si="28"/>
        <v>50.19202922301319</v>
      </c>
      <c r="C930" s="29"/>
      <c r="D930" s="29"/>
      <c r="E930" s="58">
        <f t="shared" si="29"/>
        <v>55865.33709090534</v>
      </c>
    </row>
    <row r="931" spans="1:5" ht="12.75">
      <c r="A931" s="1">
        <v>0.902</v>
      </c>
      <c r="B931" s="29">
        <f t="shared" si="28"/>
        <v>50.197364366146225</v>
      </c>
      <c r="C931" s="29"/>
      <c r="D931" s="29"/>
      <c r="E931" s="58">
        <f t="shared" si="29"/>
        <v>55868.72844083991</v>
      </c>
    </row>
    <row r="932" spans="1:5" ht="12.75">
      <c r="A932" s="1">
        <v>0.903</v>
      </c>
      <c r="B932" s="29">
        <f t="shared" si="28"/>
        <v>50.20273955328542</v>
      </c>
      <c r="C932" s="29"/>
      <c r="D932" s="29"/>
      <c r="E932" s="58">
        <f t="shared" si="29"/>
        <v>55872.14882573686</v>
      </c>
    </row>
    <row r="933" spans="1:5" ht="12.75">
      <c r="A933" s="1">
        <v>0.904</v>
      </c>
      <c r="B933" s="29">
        <f t="shared" si="28"/>
        <v>50.208155573973556</v>
      </c>
      <c r="C933" s="29"/>
      <c r="D933" s="29"/>
      <c r="E933" s="58">
        <f t="shared" si="29"/>
        <v>55875.59882824226</v>
      </c>
    </row>
    <row r="934" spans="1:5" ht="12.75">
      <c r="A934" s="1">
        <v>0.905</v>
      </c>
      <c r="B934" s="29">
        <f t="shared" si="28"/>
        <v>50.213613241495445</v>
      </c>
      <c r="C934" s="29"/>
      <c r="D934" s="29"/>
      <c r="E934" s="58">
        <f t="shared" si="29"/>
        <v>55879.07904884929</v>
      </c>
    </row>
    <row r="935" spans="1:5" ht="12.75">
      <c r="A935" s="1">
        <v>0.906</v>
      </c>
      <c r="B935" s="29">
        <f t="shared" si="28"/>
        <v>50.21911339385367</v>
      </c>
      <c r="C935" s="29"/>
      <c r="D935" s="29"/>
      <c r="E935" s="58">
        <f t="shared" si="29"/>
        <v>55882.59010664101</v>
      </c>
    </row>
    <row r="936" spans="1:5" ht="12.75">
      <c r="A936" s="1">
        <v>0.907</v>
      </c>
      <c r="B936" s="29">
        <f t="shared" si="28"/>
        <v>50.22465689479538</v>
      </c>
      <c r="C936" s="29"/>
      <c r="D936" s="29"/>
      <c r="E936" s="58">
        <f t="shared" si="29"/>
        <v>55886.13264007214</v>
      </c>
    </row>
    <row r="937" spans="1:5" ht="12.75">
      <c r="A937" s="1">
        <v>0.908</v>
      </c>
      <c r="B937" s="29">
        <f t="shared" si="28"/>
        <v>50.23024463489332</v>
      </c>
      <c r="C937" s="29"/>
      <c r="D937" s="29"/>
      <c r="E937" s="58">
        <f t="shared" si="29"/>
        <v>55889.707307792545</v>
      </c>
    </row>
    <row r="938" spans="1:5" ht="12.75">
      <c r="A938" s="1">
        <v>0.909</v>
      </c>
      <c r="B938" s="29">
        <f t="shared" si="28"/>
        <v>50.23587753268457</v>
      </c>
      <c r="C938" s="29"/>
      <c r="D938" s="29"/>
      <c r="E938" s="58">
        <f t="shared" si="29"/>
        <v>55893.314789515316</v>
      </c>
    </row>
    <row r="939" spans="1:5" ht="12.75">
      <c r="A939" s="1">
        <v>0.91</v>
      </c>
      <c r="B939" s="29">
        <f t="shared" si="28"/>
        <v>50.24155653587082</v>
      </c>
      <c r="C939" s="29"/>
      <c r="D939" s="29"/>
      <c r="E939" s="58">
        <f t="shared" si="29"/>
        <v>55896.9557869319</v>
      </c>
    </row>
    <row r="940" spans="1:5" ht="12.75">
      <c r="A940" s="1">
        <v>0.911</v>
      </c>
      <c r="B940" s="29">
        <f t="shared" si="28"/>
        <v>50.24728262258418</v>
      </c>
      <c r="C940" s="29"/>
      <c r="D940" s="29"/>
      <c r="E940" s="58">
        <f t="shared" si="29"/>
        <v>55900.631024678</v>
      </c>
    </row>
    <row r="941" spans="1:5" ht="12.75">
      <c r="A941" s="1">
        <v>0.912</v>
      </c>
      <c r="B941" s="29">
        <f t="shared" si="28"/>
        <v>50.25305680272293</v>
      </c>
      <c r="C941" s="29"/>
      <c r="D941" s="29"/>
      <c r="E941" s="58">
        <f t="shared" si="29"/>
        <v>55904.3412513531</v>
      </c>
    </row>
    <row r="942" spans="1:5" ht="12.75">
      <c r="A942" s="1">
        <v>0.913</v>
      </c>
      <c r="B942" s="29">
        <f t="shared" si="28"/>
        <v>50.25888011936184</v>
      </c>
      <c r="C942" s="29"/>
      <c r="D942" s="29"/>
      <c r="E942" s="58">
        <f t="shared" si="29"/>
        <v>55908.08724059764</v>
      </c>
    </row>
    <row r="943" spans="1:5" ht="12.75">
      <c r="A943" s="1">
        <v>0.914</v>
      </c>
      <c r="B943" s="29">
        <f t="shared" si="28"/>
        <v>50.26475365024221</v>
      </c>
      <c r="C943" s="29"/>
      <c r="D943" s="29"/>
      <c r="E943" s="58">
        <f t="shared" si="29"/>
        <v>55911.86979223156</v>
      </c>
    </row>
    <row r="944" spans="1:5" ht="12.75">
      <c r="A944" s="1">
        <v>0.915</v>
      </c>
      <c r="B944" s="29">
        <f t="shared" si="28"/>
        <v>50.27067850934717</v>
      </c>
      <c r="C944" s="29"/>
      <c r="D944" s="29"/>
      <c r="E944" s="58">
        <f t="shared" si="29"/>
        <v>55915.689733458705</v>
      </c>
    </row>
    <row r="945" spans="1:5" ht="12.75">
      <c r="A945" s="1">
        <v>0.916</v>
      </c>
      <c r="B945" s="29">
        <f t="shared" si="28"/>
        <v>50.276655848567984</v>
      </c>
      <c r="C945" s="29"/>
      <c r="D945" s="29"/>
      <c r="E945" s="58">
        <f t="shared" si="29"/>
        <v>55919.547920141384</v>
      </c>
    </row>
    <row r="946" spans="1:5" ht="12.75">
      <c r="A946" s="1">
        <v>0.917</v>
      </c>
      <c r="B946" s="29">
        <f t="shared" si="28"/>
        <v>50.28268685946805</v>
      </c>
      <c r="C946" s="29"/>
      <c r="D946" s="29"/>
      <c r="E946" s="58">
        <f t="shared" si="29"/>
        <v>55923.445238150474</v>
      </c>
    </row>
    <row r="947" spans="1:5" ht="12.75">
      <c r="A947" s="1">
        <v>0.918</v>
      </c>
      <c r="B947" s="29">
        <f t="shared" si="28"/>
        <v>50.28877277515134</v>
      </c>
      <c r="C947" s="29"/>
      <c r="D947" s="29"/>
      <c r="E947" s="58">
        <f t="shared" si="29"/>
        <v>55927.38260479617</v>
      </c>
    </row>
    <row r="948" spans="1:5" ht="12.75">
      <c r="A948" s="1">
        <v>0.919</v>
      </c>
      <c r="B948" s="29">
        <f t="shared" si="28"/>
        <v>50.29491487224296</v>
      </c>
      <c r="C948" s="29"/>
      <c r="D948" s="29"/>
      <c r="E948" s="58">
        <f t="shared" si="29"/>
        <v>55931.36097034543</v>
      </c>
    </row>
    <row r="949" spans="1:5" ht="12.75">
      <c r="A949" s="1">
        <v>0.92</v>
      </c>
      <c r="B949" s="29">
        <f t="shared" si="28"/>
        <v>50.30111447299007</v>
      </c>
      <c r="C949" s="29"/>
      <c r="D949" s="29"/>
      <c r="E949" s="58">
        <f t="shared" si="29"/>
        <v>55935.381319632535</v>
      </c>
    </row>
    <row r="950" spans="1:5" ht="12.75">
      <c r="A950" s="1">
        <v>0.921</v>
      </c>
      <c r="B950" s="29">
        <f t="shared" si="28"/>
        <v>50.307372947491864</v>
      </c>
      <c r="C950" s="29"/>
      <c r="D950" s="29"/>
      <c r="E950" s="58">
        <f t="shared" si="29"/>
        <v>55939.44467376953</v>
      </c>
    </row>
    <row r="951" spans="1:5" ht="12.75">
      <c r="A951" s="1">
        <v>0.922</v>
      </c>
      <c r="B951" s="29">
        <f t="shared" si="28"/>
        <v>50.31369171606861</v>
      </c>
      <c r="C951" s="29"/>
      <c r="D951" s="29"/>
      <c r="E951" s="58">
        <f t="shared" si="29"/>
        <v>55943.552091964346</v>
      </c>
    </row>
    <row r="952" spans="1:5" ht="12.75">
      <c r="A952" s="1">
        <v>0.923</v>
      </c>
      <c r="B952" s="29">
        <f t="shared" si="28"/>
        <v>50.32007225178007</v>
      </c>
      <c r="C952" s="29"/>
      <c r="D952" s="29"/>
      <c r="E952" s="58">
        <f t="shared" si="29"/>
        <v>55947.70467345467</v>
      </c>
    </row>
    <row r="953" spans="1:5" ht="12.75">
      <c r="A953" s="1">
        <v>0.924</v>
      </c>
      <c r="B953" s="29">
        <f t="shared" si="28"/>
        <v>50.32651608310497</v>
      </c>
      <c r="C953" s="29"/>
      <c r="D953" s="29"/>
      <c r="E953" s="58">
        <f t="shared" si="29"/>
        <v>55951.90355956665</v>
      </c>
    </row>
    <row r="954" spans="1:5" ht="12.75">
      <c r="A954" s="1">
        <v>0.925</v>
      </c>
      <c r="B954" s="29">
        <f t="shared" si="28"/>
        <v>50.33302479679396</v>
      </c>
      <c r="C954" s="29"/>
      <c r="D954" s="29"/>
      <c r="E954" s="58">
        <f t="shared" si="29"/>
        <v>55956.14993590823</v>
      </c>
    </row>
    <row r="955" spans="1:5" ht="12.75">
      <c r="A955" s="1">
        <v>0.926</v>
      </c>
      <c r="B955" s="29">
        <f t="shared" si="28"/>
        <v>50.33960004090988</v>
      </c>
      <c r="C955" s="29"/>
      <c r="D955" s="29"/>
      <c r="E955" s="58">
        <f t="shared" si="29"/>
        <v>55960.44503470775</v>
      </c>
    </row>
    <row r="956" spans="1:5" ht="12.75">
      <c r="A956" s="1">
        <v>0.927</v>
      </c>
      <c r="B956" s="29">
        <f t="shared" si="28"/>
        <v>50.346243528070374</v>
      </c>
      <c r="C956" s="29"/>
      <c r="D956" s="29"/>
      <c r="E956" s="58">
        <f t="shared" si="29"/>
        <v>55964.79013730983</v>
      </c>
    </row>
    <row r="957" spans="1:5" ht="12.75">
      <c r="A957" s="1">
        <v>0.928</v>
      </c>
      <c r="B957" s="29">
        <f t="shared" si="28"/>
        <v>50.35295703890914</v>
      </c>
      <c r="C957" s="29"/>
      <c r="D957" s="29"/>
      <c r="E957" s="58">
        <f t="shared" si="29"/>
        <v>55969.18657684098</v>
      </c>
    </row>
    <row r="958" spans="1:5" ht="12.75">
      <c r="A958" s="1">
        <v>0.929</v>
      </c>
      <c r="B958" s="29">
        <f t="shared" si="28"/>
        <v>50.35974242577406</v>
      </c>
      <c r="C958" s="29"/>
      <c r="D958" s="29"/>
      <c r="E958" s="58">
        <f t="shared" si="29"/>
        <v>55973.63574105949</v>
      </c>
    </row>
    <row r="959" spans="1:5" ht="12.75">
      <c r="A959" s="1">
        <v>0.93</v>
      </c>
      <c r="B959" s="29">
        <f t="shared" si="28"/>
        <v>50.36660161668184</v>
      </c>
      <c r="C959" s="29"/>
      <c r="D959" s="29"/>
      <c r="E959" s="58">
        <f t="shared" si="29"/>
        <v>55978.139075404884</v>
      </c>
    </row>
    <row r="960" spans="1:5" ht="12.75">
      <c r="A960" s="1">
        <v>0.931</v>
      </c>
      <c r="B960" s="29">
        <f t="shared" si="28"/>
        <v>50.373536619551</v>
      </c>
      <c r="C960" s="29"/>
      <c r="D960" s="29"/>
      <c r="E960" s="58">
        <f t="shared" si="29"/>
        <v>55982.6980862639</v>
      </c>
    </row>
    <row r="961" spans="1:5" ht="12.75">
      <c r="A961" s="1">
        <v>0.932</v>
      </c>
      <c r="B961" s="29">
        <f t="shared" si="28"/>
        <v>50.38054952673711</v>
      </c>
      <c r="C961" s="29"/>
      <c r="D961" s="29"/>
      <c r="E961" s="58">
        <f t="shared" si="29"/>
        <v>55987.31434447211</v>
      </c>
    </row>
    <row r="962" spans="1:5" ht="12.75">
      <c r="A962" s="1">
        <v>0.933</v>
      </c>
      <c r="B962" s="29">
        <f t="shared" si="28"/>
        <v>50.3876425198968</v>
      </c>
      <c r="C962" s="29"/>
      <c r="D962" s="29"/>
      <c r="E962" s="58">
        <f t="shared" si="29"/>
        <v>55991.98948907158</v>
      </c>
    </row>
    <row r="963" spans="1:5" ht="12.75">
      <c r="A963" s="1">
        <v>0.934</v>
      </c>
      <c r="B963" s="29">
        <f t="shared" si="28"/>
        <v>50.39481787520944</v>
      </c>
      <c r="C963" s="29"/>
      <c r="D963" s="29"/>
      <c r="E963" s="58">
        <f t="shared" si="29"/>
        <v>55996.72523134757</v>
      </c>
    </row>
    <row r="964" spans="1:5" ht="12.75">
      <c r="A964" s="1">
        <v>0.935</v>
      </c>
      <c r="B964" s="29">
        <f t="shared" si="28"/>
        <v>50.402077968988934</v>
      </c>
      <c r="C964" s="29"/>
      <c r="D964" s="29"/>
      <c r="E964" s="58">
        <f t="shared" si="29"/>
        <v>56001.523359169616</v>
      </c>
    </row>
    <row r="965" spans="1:5" ht="12.75">
      <c r="A965" s="1">
        <v>0.936</v>
      </c>
      <c r="B965" s="29">
        <f t="shared" si="28"/>
        <v>50.40942528372116</v>
      </c>
      <c r="C965" s="29"/>
      <c r="D965" s="29"/>
      <c r="E965" s="58">
        <f t="shared" si="29"/>
        <v>56006.385741665115</v>
      </c>
    </row>
    <row r="966" spans="1:5" ht="12.75">
      <c r="A966" s="1">
        <v>0.937</v>
      </c>
      <c r="B966" s="29">
        <f t="shared" si="28"/>
        <v>50.41686241456658</v>
      </c>
      <c r="C966" s="29"/>
      <c r="D966" s="29"/>
      <c r="E966" s="58">
        <f t="shared" si="29"/>
        <v>56011.3143342561</v>
      </c>
    </row>
    <row r="967" spans="1:5" ht="12.75">
      <c r="A967" s="1">
        <v>0.9380000000000001</v>
      </c>
      <c r="B967" s="29">
        <f t="shared" si="28"/>
        <v>50.424392076371895</v>
      </c>
      <c r="C967" s="29"/>
      <c r="D967" s="29"/>
      <c r="E967" s="58">
        <f t="shared" si="29"/>
        <v>56016.31118409439</v>
      </c>
    </row>
    <row r="968" spans="1:5" ht="12.75">
      <c r="A968" s="1">
        <v>0.9390000000000001</v>
      </c>
      <c r="B968" s="29">
        <f t="shared" si="28"/>
        <v>50.432017111239574</v>
      </c>
      <c r="C968" s="29"/>
      <c r="D968" s="29"/>
      <c r="E968" s="58">
        <f t="shared" si="29"/>
        <v>56021.378435932966</v>
      </c>
    </row>
    <row r="969" spans="1:5" ht="12.75">
      <c r="A969" s="1">
        <v>0.94</v>
      </c>
      <c r="B969" s="29">
        <f t="shared" si="28"/>
        <v>50.43974049670963</v>
      </c>
      <c r="C969" s="29"/>
      <c r="D969" s="29"/>
      <c r="E969" s="58">
        <f t="shared" si="29"/>
        <v>56026.51833847677</v>
      </c>
    </row>
    <row r="970" spans="1:5" ht="12.75">
      <c r="A970" s="1">
        <v>0.9410000000000001</v>
      </c>
      <c r="B970" s="29">
        <f t="shared" si="28"/>
        <v>50.44756535461427</v>
      </c>
      <c r="C970" s="29"/>
      <c r="D970" s="29"/>
      <c r="E970" s="58">
        <f t="shared" si="29"/>
        <v>56031.73325126082</v>
      </c>
    </row>
    <row r="971" spans="1:5" ht="12.75">
      <c r="A971" s="1">
        <v>0.9420000000000001</v>
      </c>
      <c r="B971" s="29">
        <f t="shared" si="28"/>
        <v>50.45549496067325</v>
      </c>
      <c r="C971" s="29"/>
      <c r="D971" s="29"/>
      <c r="E971" s="58">
        <f t="shared" si="29"/>
        <v>56037.02565210885</v>
      </c>
    </row>
    <row r="972" spans="1:5" ht="12.75">
      <c r="A972" s="1">
        <v>0.9430000000000001</v>
      </c>
      <c r="B972" s="29">
        <f t="shared" si="28"/>
        <v>50.46353275490597</v>
      </c>
      <c r="C972" s="29"/>
      <c r="D972" s="29"/>
      <c r="E972" s="58">
        <f t="shared" si="29"/>
        <v>56042.398145233004</v>
      </c>
    </row>
    <row r="973" spans="1:5" ht="12.75">
      <c r="A973" s="1">
        <v>0.9440000000000001</v>
      </c>
      <c r="B973" s="29">
        <f t="shared" si="28"/>
        <v>50.4716823529454</v>
      </c>
      <c r="C973" s="29"/>
      <c r="D973" s="29"/>
      <c r="E973" s="58">
        <f t="shared" si="29"/>
        <v>56047.85347004135</v>
      </c>
    </row>
    <row r="974" spans="1:5" ht="12.75">
      <c r="A974" s="1">
        <v>0.945</v>
      </c>
      <c r="B974" s="29">
        <f t="shared" si="28"/>
        <v>50.47994755834983</v>
      </c>
      <c r="C974" s="29"/>
      <c r="D974" s="29"/>
      <c r="E974" s="58">
        <f t="shared" si="29"/>
        <v>56053.3945107297</v>
      </c>
    </row>
    <row r="975" spans="1:5" ht="12.75">
      <c r="A975" s="1">
        <v>0.9460000000000001</v>
      </c>
      <c r="B975" s="29">
        <f t="shared" si="28"/>
        <v>50.48833237602028</v>
      </c>
      <c r="C975" s="29"/>
      <c r="D975" s="29"/>
      <c r="E975" s="58">
        <f t="shared" si="29"/>
        <v>56059.024306742576</v>
      </c>
    </row>
    <row r="976" spans="1:5" ht="12.75">
      <c r="A976" s="1">
        <v>0.9470000000000001</v>
      </c>
      <c r="B976" s="29">
        <f t="shared" si="28"/>
        <v>50.49684102684552</v>
      </c>
      <c r="C976" s="29"/>
      <c r="D976" s="29"/>
      <c r="E976" s="58">
        <f t="shared" si="29"/>
        <v>56064.746064200364</v>
      </c>
    </row>
    <row r="977" spans="1:5" ht="12.75">
      <c r="A977" s="1">
        <v>0.9480000000000001</v>
      </c>
      <c r="B977" s="29">
        <f t="shared" si="28"/>
        <v>50.505477963712586</v>
      </c>
      <c r="C977" s="29"/>
      <c r="D977" s="29"/>
      <c r="E977" s="58">
        <f t="shared" si="29"/>
        <v>56070.563168401764</v>
      </c>
    </row>
    <row r="978" spans="1:5" ht="12.75">
      <c r="A978" s="1">
        <v>0.9490000000000001</v>
      </c>
      <c r="B978" s="29">
        <f t="shared" si="28"/>
        <v>50.514247889039176</v>
      </c>
      <c r="C978" s="29"/>
      <c r="D978" s="29"/>
      <c r="E978" s="58">
        <f t="shared" si="29"/>
        <v>56076.479197525645</v>
      </c>
    </row>
    <row r="979" spans="1:5" ht="12.75">
      <c r="A979" s="1">
        <v>0.95</v>
      </c>
      <c r="B979" s="29">
        <f t="shared" si="28"/>
        <v>50.52315577400567</v>
      </c>
      <c r="C979" s="29"/>
      <c r="D979" s="29"/>
      <c r="E979" s="58">
        <f t="shared" si="29"/>
        <v>56082.49793767355</v>
      </c>
    </row>
    <row r="980" spans="1:5" ht="12.75">
      <c r="A980" s="1">
        <v>0.9510000000000001</v>
      </c>
      <c r="B980" s="29">
        <f t="shared" si="28"/>
        <v>50.5322068796893</v>
      </c>
      <c r="C980" s="29"/>
      <c r="D980" s="29"/>
      <c r="E980" s="58">
        <f t="shared" si="29"/>
        <v>56088.62339941361</v>
      </c>
    </row>
    <row r="981" spans="1:5" ht="12.75">
      <c r="A981" s="1">
        <v>0.9520000000000001</v>
      </c>
      <c r="B981" s="29">
        <f t="shared" si="28"/>
        <v>50.54140678033178</v>
      </c>
      <c r="C981" s="29"/>
      <c r="D981" s="29"/>
      <c r="E981" s="58">
        <f t="shared" si="29"/>
        <v>56094.85983601014</v>
      </c>
    </row>
    <row r="982" spans="1:5" ht="12.75">
      <c r="A982" s="1">
        <v>0.9530000000000001</v>
      </c>
      <c r="B982" s="29">
        <f t="shared" si="28"/>
        <v>50.55076138900548</v>
      </c>
      <c r="C982" s="29"/>
      <c r="D982" s="29"/>
      <c r="E982" s="58">
        <f t="shared" si="29"/>
        <v>56101.21176354952</v>
      </c>
    </row>
    <row r="983" spans="1:5" ht="12.75">
      <c r="A983" s="1">
        <v>0.9540000000000001</v>
      </c>
      <c r="B983" s="29">
        <f t="shared" si="28"/>
        <v>50.560276985982156</v>
      </c>
      <c r="C983" s="29"/>
      <c r="D983" s="29"/>
      <c r="E983" s="58">
        <f t="shared" si="29"/>
        <v>56107.683983205</v>
      </c>
    </row>
    <row r="984" spans="1:5" ht="12.75">
      <c r="A984" s="1">
        <v>0.955</v>
      </c>
      <c r="B984" s="29">
        <f t="shared" si="28"/>
        <v>50.56996025015494</v>
      </c>
      <c r="C984" s="29"/>
      <c r="D984" s="29"/>
      <c r="E984" s="58">
        <f t="shared" si="29"/>
        <v>56114.281605919576</v>
      </c>
    </row>
    <row r="985" spans="1:5" ht="12.75">
      <c r="A985" s="1">
        <v>0.9560000000000001</v>
      </c>
      <c r="B985" s="29">
        <f t="shared" si="28"/>
        <v>50.57981829391822</v>
      </c>
      <c r="C985" s="29"/>
      <c r="D985" s="29"/>
      <c r="E985" s="58">
        <f t="shared" si="29"/>
        <v>56121.01007983024</v>
      </c>
    </row>
    <row r="986" spans="1:5" ht="12.75">
      <c r="A986" s="1">
        <v>0.9570000000000001</v>
      </c>
      <c r="B986" s="29">
        <f t="shared" si="28"/>
        <v>50.589858701974336</v>
      </c>
      <c r="C986" s="29"/>
      <c r="D986" s="29"/>
      <c r="E986" s="58">
        <f t="shared" si="29"/>
        <v>56127.87522080788</v>
      </c>
    </row>
    <row r="987" spans="1:5" ht="12.75">
      <c r="A987" s="1">
        <v>0.9580000000000001</v>
      </c>
      <c r="B987" s="29">
        <f t="shared" si="28"/>
        <v>50.60008957461243</v>
      </c>
      <c r="C987" s="29"/>
      <c r="D987" s="29"/>
      <c r="E987" s="58">
        <f t="shared" si="29"/>
        <v>56134.88324654888</v>
      </c>
    </row>
    <row r="988" spans="1:5" ht="12.75">
      <c r="A988" s="1">
        <v>0.9590000000000001</v>
      </c>
      <c r="B988" s="29">
        <f t="shared" si="28"/>
        <v>50.61051957609512</v>
      </c>
      <c r="C988" s="29"/>
      <c r="D988" s="29"/>
      <c r="E988" s="58">
        <f t="shared" si="29"/>
        <v>56142.04081472689</v>
      </c>
    </row>
    <row r="989" spans="1:5" ht="12.75">
      <c r="A989" s="1">
        <v>0.96</v>
      </c>
      <c r="B989" s="29">
        <f t="shared" si="28"/>
        <v>50.62115798889728</v>
      </c>
      <c r="C989" s="29"/>
      <c r="D989" s="29"/>
      <c r="E989" s="58">
        <f t="shared" si="29"/>
        <v>56149.35506580098</v>
      </c>
    </row>
    <row r="990" spans="1:5" ht="12.75">
      <c r="A990" s="1">
        <v>0.961</v>
      </c>
      <c r="B990" s="29">
        <f t="shared" si="28"/>
        <v>50.6320147746711</v>
      </c>
      <c r="C990" s="29"/>
      <c r="D990" s="29"/>
      <c r="E990" s="58">
        <f t="shared" si="29"/>
        <v>56156.83367118092</v>
      </c>
    </row>
    <row r="991" spans="1:5" ht="12.75">
      <c r="A991" s="1">
        <v>0.962</v>
      </c>
      <c r="B991" s="29">
        <f aca="true" t="shared" si="30" ref="B991:B1028">$C$6+NORMSINV($A991)*$C$11*$C$6</f>
        <v>50.64310064296856</v>
      </c>
      <c r="C991" s="29"/>
      <c r="D991" s="29"/>
      <c r="E991" s="58">
        <f aca="true" t="shared" si="31" ref="E991:E1028">EPortfolio($C$5+1/252,$B991,$C$7,$C$8,$C$9,,$C$10,$H$7:$L$10,0)</f>
        <v>56164.484887576706</v>
      </c>
    </row>
    <row r="992" spans="1:5" ht="12.75">
      <c r="A992" s="1">
        <v>0.963</v>
      </c>
      <c r="B992" s="29">
        <f t="shared" si="30"/>
        <v>50.654427128941954</v>
      </c>
      <c r="C992" s="29"/>
      <c r="D992" s="29"/>
      <c r="E992" s="58">
        <f t="shared" si="31"/>
        <v>56172.31761851294</v>
      </c>
    </row>
    <row r="993" spans="1:5" ht="12.75">
      <c r="A993" s="1">
        <v>0.964</v>
      </c>
      <c r="B993" s="29">
        <f t="shared" si="30"/>
        <v>50.66600668147431</v>
      </c>
      <c r="C993" s="29"/>
      <c r="D993" s="29"/>
      <c r="E993" s="58">
        <f t="shared" si="31"/>
        <v>56180.34148417534</v>
      </c>
    </row>
    <row r="994" spans="1:5" ht="12.75">
      <c r="A994" s="1">
        <v>0.965</v>
      </c>
      <c r="B994" s="29">
        <f t="shared" si="30"/>
        <v>50.67785276347369</v>
      </c>
      <c r="C994" s="29"/>
      <c r="D994" s="29"/>
      <c r="E994" s="58">
        <f t="shared" si="31"/>
        <v>56188.56690098445</v>
      </c>
    </row>
    <row r="995" spans="1:5" ht="12.75">
      <c r="A995" s="1">
        <v>0.966</v>
      </c>
      <c r="B995" s="29">
        <f t="shared" si="30"/>
        <v>50.68997996641247</v>
      </c>
      <c r="C995" s="29"/>
      <c r="D995" s="29"/>
      <c r="E995" s="58">
        <f t="shared" si="31"/>
        <v>56197.00517257366</v>
      </c>
    </row>
    <row r="996" spans="1:5" ht="12.75">
      <c r="A996" s="1">
        <v>0.967</v>
      </c>
      <c r="B996" s="29">
        <f t="shared" si="30"/>
        <v>50.702404141621564</v>
      </c>
      <c r="C996" s="29"/>
      <c r="D996" s="29"/>
      <c r="E996" s="58">
        <f t="shared" si="31"/>
        <v>56205.66859419556</v>
      </c>
    </row>
    <row r="997" spans="1:5" ht="12.75">
      <c r="A997" s="1">
        <v>0.968</v>
      </c>
      <c r="B997" s="29">
        <f t="shared" si="30"/>
        <v>50.715142551382975</v>
      </c>
      <c r="C997" s="29"/>
      <c r="D997" s="29"/>
      <c r="E997" s="58">
        <f t="shared" si="31"/>
        <v>56214.570573013756</v>
      </c>
    </row>
    <row r="998" spans="1:5" ht="12.75">
      <c r="A998" s="1">
        <v>0.969</v>
      </c>
      <c r="B998" s="29">
        <f t="shared" si="30"/>
        <v>50.728214043531</v>
      </c>
      <c r="C998" s="29"/>
      <c r="D998" s="29"/>
      <c r="E998" s="58">
        <f t="shared" si="31"/>
        <v>56223.72576727939</v>
      </c>
    </row>
    <row r="999" spans="1:5" ht="12.75">
      <c r="A999" s="1">
        <v>0.97</v>
      </c>
      <c r="B999" s="29">
        <f t="shared" si="30"/>
        <v>50.741639254112826</v>
      </c>
      <c r="C999" s="29"/>
      <c r="D999" s="29"/>
      <c r="E999" s="58">
        <f t="shared" si="31"/>
        <v>56233.15024807474</v>
      </c>
    </row>
    <row r="1000" spans="1:5" ht="12.75">
      <c r="A1000" s="1">
        <v>0.971</v>
      </c>
      <c r="B1000" s="29">
        <f t="shared" si="30"/>
        <v>50.755440843724344</v>
      </c>
      <c r="C1000" s="29"/>
      <c r="D1000" s="29"/>
      <c r="E1000" s="58">
        <f t="shared" si="31"/>
        <v>56242.86168817411</v>
      </c>
    </row>
    <row r="1001" spans="1:5" ht="12.75">
      <c r="A1001" s="1">
        <v>0.972</v>
      </c>
      <c r="B1001" s="29">
        <f t="shared" si="30"/>
        <v>50.769643774497986</v>
      </c>
      <c r="C1001" s="29"/>
      <c r="D1001" s="29"/>
      <c r="E1001" s="58">
        <f t="shared" si="31"/>
        <v>56252.879583681206</v>
      </c>
    </row>
    <row r="1002" spans="1:5" ht="12.75">
      <c r="A1002" s="1">
        <v>0.973</v>
      </c>
      <c r="B1002" s="29">
        <f t="shared" si="30"/>
        <v>50.78427563647207</v>
      </c>
      <c r="C1002" s="29"/>
      <c r="D1002" s="29"/>
      <c r="E1002" s="58">
        <f t="shared" si="31"/>
        <v>56263.225515533435</v>
      </c>
    </row>
    <row r="1003" spans="1:5" ht="12.75">
      <c r="A1003" s="1">
        <v>0.974</v>
      </c>
      <c r="B1003" s="29">
        <f t="shared" si="30"/>
        <v>50.79936703434603</v>
      </c>
      <c r="C1003" s="29"/>
      <c r="D1003" s="29"/>
      <c r="E1003" s="58">
        <f t="shared" si="31"/>
        <v>56273.923459822356</v>
      </c>
    </row>
    <row r="1004" spans="1:5" ht="12.75">
      <c r="A1004" s="1">
        <v>0.975</v>
      </c>
      <c r="B1004" s="29">
        <f t="shared" si="30"/>
        <v>50.81495204860768</v>
      </c>
      <c r="C1004" s="29"/>
      <c r="D1004" s="29"/>
      <c r="E1004" s="58">
        <f t="shared" si="31"/>
        <v>56285.00015832008</v>
      </c>
    </row>
    <row r="1005" spans="1:5" ht="12.75">
      <c r="A1005" s="1">
        <v>0.976</v>
      </c>
      <c r="B1005" s="29">
        <f t="shared" si="30"/>
        <v>50.831068788962035</v>
      </c>
      <c r="C1005" s="29"/>
      <c r="D1005" s="29"/>
      <c r="E1005" s="58">
        <f t="shared" si="31"/>
        <v>56296.48556383244</v>
      </c>
    </row>
    <row r="1006" spans="1:5" ht="12.75">
      <c r="A1006" s="1">
        <v>0.977</v>
      </c>
      <c r="B1006" s="29">
        <f t="shared" si="30"/>
        <v>50.84776006326312</v>
      </c>
      <c r="C1006" s="29"/>
      <c r="D1006" s="29"/>
      <c r="E1006" s="58">
        <f t="shared" si="31"/>
        <v>56308.41337932623</v>
      </c>
    </row>
    <row r="1007" spans="1:5" ht="12.75">
      <c r="A1007" s="1">
        <v>0.978</v>
      </c>
      <c r="B1007" s="29">
        <f t="shared" si="30"/>
        <v>50.865074192275046</v>
      </c>
      <c r="C1007" s="29"/>
      <c r="D1007" s="29"/>
      <c r="E1007" s="58">
        <f t="shared" si="31"/>
        <v>56320.82171563244</v>
      </c>
    </row>
    <row r="1008" spans="1:5" ht="12.75">
      <c r="A1008" s="1">
        <v>0.979</v>
      </c>
      <c r="B1008" s="29">
        <f t="shared" si="30"/>
        <v>50.88306601033688</v>
      </c>
      <c r="C1008" s="29"/>
      <c r="D1008" s="29"/>
      <c r="E1008" s="58">
        <f t="shared" si="31"/>
        <v>56333.753900549826</v>
      </c>
    </row>
    <row r="1009" spans="1:5" ht="12.75">
      <c r="A1009" s="1">
        <v>0.98</v>
      </c>
      <c r="B1009" s="29">
        <f t="shared" si="30"/>
        <v>50.90179810551557</v>
      </c>
      <c r="C1009" s="29"/>
      <c r="D1009" s="29"/>
      <c r="E1009" s="58">
        <f t="shared" si="31"/>
        <v>56347.25948330913</v>
      </c>
    </row>
    <row r="1010" spans="1:5" ht="12.75">
      <c r="A1010" s="1">
        <v>0.981</v>
      </c>
      <c r="B1010" s="29">
        <f t="shared" si="30"/>
        <v>50.921342371826384</v>
      </c>
      <c r="C1010" s="29"/>
      <c r="D1010" s="29"/>
      <c r="E1010" s="58">
        <f t="shared" si="31"/>
        <v>56361.395494038916</v>
      </c>
    </row>
    <row r="1011" spans="1:5" ht="12.75">
      <c r="A1011" s="1">
        <v>0.982</v>
      </c>
      <c r="B1011" s="29">
        <f t="shared" si="30"/>
        <v>50.9417819732216</v>
      </c>
      <c r="C1011" s="29"/>
      <c r="D1011" s="29"/>
      <c r="E1011" s="58">
        <f t="shared" si="31"/>
        <v>56376.22804030188</v>
      </c>
    </row>
    <row r="1012" spans="1:5" ht="12.75">
      <c r="A1012" s="1">
        <v>0.983</v>
      </c>
      <c r="B1012" s="29">
        <f t="shared" si="30"/>
        <v>50.96321385844018</v>
      </c>
      <c r="C1012" s="29"/>
      <c r="D1012" s="29"/>
      <c r="E1012" s="58">
        <f t="shared" si="31"/>
        <v>56391.834355400955</v>
      </c>
    </row>
    <row r="1013" spans="1:5" ht="12.75">
      <c r="A1013" s="1">
        <v>0.984</v>
      </c>
      <c r="B1013" s="29">
        <f t="shared" si="30"/>
        <v>50.98575202410842</v>
      </c>
      <c r="C1013" s="29"/>
      <c r="D1013" s="29"/>
      <c r="E1013" s="58">
        <f t="shared" si="31"/>
        <v>56408.30546153288</v>
      </c>
    </row>
    <row r="1014" spans="1:5" ht="12.75">
      <c r="A1014" s="1">
        <v>0.985</v>
      </c>
      <c r="B1014" s="29">
        <f t="shared" si="30"/>
        <v>51.009531811568046</v>
      </c>
      <c r="C1014" s="29"/>
      <c r="D1014" s="29"/>
      <c r="E1014" s="58">
        <f t="shared" si="31"/>
        <v>56425.74968410492</v>
      </c>
    </row>
    <row r="1015" spans="1:5" ht="12.75">
      <c r="A1015" s="1">
        <v>0.986</v>
      </c>
      <c r="B1015" s="29">
        <f t="shared" si="30"/>
        <v>51.03471565912385</v>
      </c>
      <c r="C1015" s="29"/>
      <c r="D1015" s="29"/>
      <c r="E1015" s="58">
        <f t="shared" si="31"/>
        <v>56444.29736701021</v>
      </c>
    </row>
    <row r="1016" spans="1:5" ht="12.75">
      <c r="A1016" s="1">
        <v>0.987</v>
      </c>
      <c r="B1016" s="29">
        <f t="shared" si="30"/>
        <v>51.06150094758242</v>
      </c>
      <c r="C1016" s="29"/>
      <c r="D1016" s="29"/>
      <c r="E1016" s="58">
        <f t="shared" si="31"/>
        <v>56464.107319133036</v>
      </c>
    </row>
    <row r="1017" spans="1:5" ht="12.75">
      <c r="A1017" s="1">
        <v>0.988</v>
      </c>
      <c r="B1017" s="29">
        <f t="shared" si="30"/>
        <v>51.09013093024458</v>
      </c>
      <c r="C1017" s="29"/>
      <c r="D1017" s="29"/>
      <c r="E1017" s="58">
        <f t="shared" si="31"/>
        <v>56485.37581795393</v>
      </c>
    </row>
    <row r="1018" spans="1:5" ht="12.75">
      <c r="A1018" s="1">
        <v>0.989</v>
      </c>
      <c r="B1018" s="29">
        <f t="shared" si="30"/>
        <v>51.12091033547953</v>
      </c>
      <c r="C1018" s="29"/>
      <c r="D1018" s="29"/>
      <c r="E1018" s="58">
        <f t="shared" si="31"/>
        <v>56508.34949678658</v>
      </c>
    </row>
    <row r="1019" spans="1:5" ht="12.75">
      <c r="A1019" s="1">
        <v>0.99</v>
      </c>
      <c r="B1019" s="29">
        <f t="shared" si="30"/>
        <v>51.154228278207555</v>
      </c>
      <c r="C1019" s="29"/>
      <c r="D1019" s="29"/>
      <c r="E1019" s="58">
        <f t="shared" si="31"/>
        <v>56533.34432350166</v>
      </c>
    </row>
    <row r="1020" spans="1:5" ht="12.75">
      <c r="A1020" s="1">
        <v>0.991</v>
      </c>
      <c r="B1020" s="29">
        <f t="shared" si="30"/>
        <v>51.190593041220275</v>
      </c>
      <c r="C1020" s="29"/>
      <c r="D1020" s="29"/>
      <c r="E1020" s="58">
        <f t="shared" si="31"/>
        <v>56560.7745011861</v>
      </c>
    </row>
    <row r="1021" spans="1:5" ht="12.75">
      <c r="A1021" s="1">
        <v>0.992</v>
      </c>
      <c r="B1021" s="29">
        <f t="shared" si="30"/>
        <v>51.23068701225479</v>
      </c>
      <c r="C1021" s="29"/>
      <c r="D1021" s="29"/>
      <c r="E1021" s="58">
        <f t="shared" si="31"/>
        <v>56591.19827087442</v>
      </c>
    </row>
    <row r="1022" spans="1:5" ht="12.75">
      <c r="A1022" s="1">
        <v>0.993</v>
      </c>
      <c r="B1022" s="29">
        <f t="shared" si="30"/>
        <v>51.27545774269347</v>
      </c>
      <c r="C1022" s="29"/>
      <c r="D1022" s="29"/>
      <c r="E1022" s="58">
        <f t="shared" si="31"/>
        <v>56625.39411116706</v>
      </c>
    </row>
    <row r="1023" spans="1:5" ht="12.75">
      <c r="A1023" s="1">
        <v>0.994</v>
      </c>
      <c r="B1023" s="29">
        <f t="shared" si="30"/>
        <v>51.326278202221914</v>
      </c>
      <c r="C1023" s="29"/>
      <c r="D1023" s="29"/>
      <c r="E1023" s="58">
        <f t="shared" si="31"/>
        <v>56664.49539361019</v>
      </c>
    </row>
    <row r="1024" spans="1:5" ht="12.75">
      <c r="A1024" s="1">
        <v>0.995</v>
      </c>
      <c r="B1024" s="29">
        <f t="shared" si="30"/>
        <v>51.385251314930095</v>
      </c>
      <c r="C1024" s="29"/>
      <c r="D1024" s="29"/>
      <c r="E1024" s="58">
        <f t="shared" si="31"/>
        <v>56710.247458236554</v>
      </c>
    </row>
    <row r="1025" spans="1:5" ht="12.75">
      <c r="A1025" s="1">
        <v>0.996</v>
      </c>
      <c r="B1025" s="29">
        <f t="shared" si="30"/>
        <v>51.45585100995222</v>
      </c>
      <c r="C1025" s="29"/>
      <c r="D1025" s="29"/>
      <c r="E1025" s="58">
        <f t="shared" si="31"/>
        <v>56765.551653153656</v>
      </c>
    </row>
    <row r="1026" spans="1:5" ht="12.75">
      <c r="A1026" s="1">
        <v>0.997</v>
      </c>
      <c r="B1026" s="29">
        <f t="shared" si="30"/>
        <v>51.54448117107097</v>
      </c>
      <c r="C1026" s="29"/>
      <c r="D1026" s="29"/>
      <c r="E1026" s="58">
        <f t="shared" si="31"/>
        <v>56835.79680867391</v>
      </c>
    </row>
    <row r="1027" spans="1:5" ht="12.75">
      <c r="A1027" s="1">
        <v>0.998</v>
      </c>
      <c r="B1027" s="29">
        <f t="shared" si="30"/>
        <v>51.66521506813375</v>
      </c>
      <c r="C1027" s="29"/>
      <c r="D1027" s="29"/>
      <c r="E1027" s="58">
        <f t="shared" si="31"/>
        <v>56932.939814734724</v>
      </c>
    </row>
    <row r="1028" spans="1:5" ht="13.5" thickBot="1">
      <c r="A1028" s="143">
        <v>0.999</v>
      </c>
      <c r="B1028" s="30">
        <f t="shared" si="30"/>
        <v>51.861595161438146</v>
      </c>
      <c r="C1028" s="30"/>
      <c r="D1028" s="30"/>
      <c r="E1028" s="65">
        <f t="shared" si="31"/>
        <v>57094.49461606288</v>
      </c>
    </row>
  </sheetData>
  <sheetProtection/>
  <mergeCells count="1"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Z42"/>
  <sheetViews>
    <sheetView zoomScalePageLayoutView="0" workbookViewId="0" topLeftCell="A1">
      <selection activeCell="P10" sqref="P10:Q10"/>
    </sheetView>
  </sheetViews>
  <sheetFormatPr defaultColWidth="9.140625" defaultRowHeight="12.75"/>
  <cols>
    <col min="1" max="1" width="2.7109375" style="0" customWidth="1"/>
    <col min="2" max="5" width="9.7109375" style="0" customWidth="1"/>
    <col min="6" max="6" width="10.28125" style="0" customWidth="1"/>
    <col min="7" max="7" width="7.140625" style="0" customWidth="1"/>
    <col min="8" max="8" width="7.57421875" style="0" bestFit="1" customWidth="1"/>
    <col min="9" max="9" width="3.140625" style="0" bestFit="1" customWidth="1"/>
    <col min="10" max="10" width="5.421875" style="0" bestFit="1" customWidth="1"/>
    <col min="11" max="11" width="6.00390625" style="0" bestFit="1" customWidth="1"/>
    <col min="12" max="12" width="10.421875" style="0" customWidth="1"/>
    <col min="13" max="13" width="3.140625" style="0" bestFit="1" customWidth="1"/>
    <col min="14" max="17" width="9.7109375" style="0" customWidth="1"/>
    <col min="18" max="18" width="10.28125" style="0" customWidth="1"/>
    <col min="19" max="19" width="5.140625" style="0" bestFit="1" customWidth="1"/>
    <col min="20" max="20" width="7.57421875" style="0" bestFit="1" customWidth="1"/>
    <col min="21" max="21" width="3.140625" style="0" bestFit="1" customWidth="1"/>
    <col min="22" max="22" width="5.57421875" style="0" bestFit="1" customWidth="1"/>
    <col min="23" max="23" width="6.00390625" style="0" bestFit="1" customWidth="1"/>
    <col min="24" max="24" width="11.00390625" style="0" customWidth="1"/>
    <col min="25" max="26" width="8.7109375" style="0" customWidth="1"/>
  </cols>
  <sheetData>
    <row r="1" spans="1:26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6" t="s">
        <v>298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.75">
      <c r="A2" s="125"/>
      <c r="B2" s="125"/>
      <c r="C2" s="125"/>
      <c r="D2" s="125"/>
      <c r="E2" s="125"/>
      <c r="G2" s="125"/>
      <c r="H2" s="125"/>
      <c r="I2" s="125"/>
      <c r="J2" s="125"/>
      <c r="K2" s="125"/>
      <c r="L2" s="126" t="s">
        <v>331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5.75">
      <c r="A3" s="125"/>
      <c r="B3" s="125"/>
      <c r="C3" s="125"/>
      <c r="D3" s="125"/>
      <c r="E3" s="125"/>
      <c r="G3" s="125"/>
      <c r="H3" s="125"/>
      <c r="I3" s="125"/>
      <c r="J3" s="125"/>
      <c r="K3" s="126" t="s">
        <v>332</v>
      </c>
      <c r="L3" s="126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5" ht="13.5" thickBot="1">
      <c r="B5" s="18" t="s">
        <v>119</v>
      </c>
    </row>
    <row r="6" spans="2:6" ht="12.75">
      <c r="B6" s="12" t="s">
        <v>38</v>
      </c>
      <c r="C6" s="41">
        <v>50</v>
      </c>
      <c r="D6" s="24"/>
      <c r="E6" s="41" t="s">
        <v>35</v>
      </c>
      <c r="F6" s="6" t="b">
        <v>1</v>
      </c>
    </row>
    <row r="7" spans="2:6" ht="13.5" thickBot="1">
      <c r="B7" s="20" t="s">
        <v>6</v>
      </c>
      <c r="C7" s="23">
        <v>50</v>
      </c>
      <c r="D7" s="29"/>
      <c r="E7" s="23" t="s">
        <v>36</v>
      </c>
      <c r="F7" s="11" t="b">
        <v>0</v>
      </c>
    </row>
    <row r="8" spans="2:14" ht="12.75">
      <c r="B8" s="20" t="s">
        <v>8</v>
      </c>
      <c r="C8" s="23">
        <v>60</v>
      </c>
      <c r="D8" s="29"/>
      <c r="E8" s="23" t="s">
        <v>22</v>
      </c>
      <c r="F8" s="8" t="b">
        <v>1</v>
      </c>
      <c r="L8" s="164" t="s">
        <v>314</v>
      </c>
      <c r="N8" t="s">
        <v>315</v>
      </c>
    </row>
    <row r="9" spans="2:14" ht="13.5" thickBot="1">
      <c r="B9" s="20" t="s">
        <v>1</v>
      </c>
      <c r="C9" s="33">
        <v>0.1</v>
      </c>
      <c r="D9" s="29"/>
      <c r="E9" s="29"/>
      <c r="F9" s="8"/>
      <c r="L9" s="163">
        <v>0</v>
      </c>
      <c r="N9" t="s">
        <v>316</v>
      </c>
    </row>
    <row r="10" spans="2:14" ht="12.75">
      <c r="B10" s="20" t="s">
        <v>2</v>
      </c>
      <c r="C10" s="42">
        <v>0</v>
      </c>
      <c r="D10" s="29"/>
      <c r="E10" s="29"/>
      <c r="F10" s="11"/>
      <c r="N10" t="s">
        <v>317</v>
      </c>
    </row>
    <row r="11" spans="2:14" ht="12.75">
      <c r="B11" s="20" t="s">
        <v>3</v>
      </c>
      <c r="C11" s="42">
        <v>0.3</v>
      </c>
      <c r="D11" s="29"/>
      <c r="E11" s="29"/>
      <c r="F11" s="11"/>
      <c r="N11" t="s">
        <v>318</v>
      </c>
    </row>
    <row r="12" spans="2:6" ht="13.5" thickBot="1">
      <c r="B12" s="13" t="s">
        <v>39</v>
      </c>
      <c r="C12" s="25">
        <v>0.75</v>
      </c>
      <c r="D12" s="30"/>
      <c r="E12" s="43" t="s">
        <v>40</v>
      </c>
      <c r="F12" s="114">
        <f>BarrierOption(C6,C7,C9,C10,C11,C12,F8,FALSE,C8,F6,F7,L9)</f>
        <v>0.31355190772173885</v>
      </c>
    </row>
    <row r="14" ht="13.5" thickBot="1"/>
    <row r="15" spans="2:11" ht="13.5" thickBot="1">
      <c r="B15" s="18" t="s">
        <v>41</v>
      </c>
      <c r="G15" s="203" t="s">
        <v>138</v>
      </c>
      <c r="H15" s="196"/>
      <c r="I15" s="196"/>
      <c r="J15" s="196"/>
      <c r="K15" s="192"/>
    </row>
    <row r="16" spans="2:12" ht="39" thickBot="1">
      <c r="B16" s="111" t="s">
        <v>135</v>
      </c>
      <c r="C16" s="115" t="s">
        <v>136</v>
      </c>
      <c r="D16" s="59" t="s">
        <v>306</v>
      </c>
      <c r="E16" s="60" t="s">
        <v>132</v>
      </c>
      <c r="F16" s="61" t="s">
        <v>133</v>
      </c>
      <c r="G16" s="97" t="s">
        <v>100</v>
      </c>
      <c r="H16" s="98" t="s">
        <v>101</v>
      </c>
      <c r="I16" s="98" t="s">
        <v>102</v>
      </c>
      <c r="J16" s="99" t="s">
        <v>118</v>
      </c>
      <c r="K16" s="75" t="s">
        <v>22</v>
      </c>
      <c r="L16" s="107" t="s">
        <v>134</v>
      </c>
    </row>
    <row r="17" spans="2:12" ht="13.5" thickTop="1">
      <c r="B17" s="1"/>
      <c r="C17" s="11"/>
      <c r="D17" s="1"/>
      <c r="E17" s="29"/>
      <c r="F17" s="11"/>
      <c r="G17" s="20">
        <v>1</v>
      </c>
      <c r="H17" s="23">
        <v>1</v>
      </c>
      <c r="I17" s="23">
        <v>50</v>
      </c>
      <c r="J17" s="23">
        <v>0.75</v>
      </c>
      <c r="K17" s="8" t="b">
        <v>1</v>
      </c>
      <c r="L17" s="93"/>
    </row>
    <row r="18" spans="2:12" ht="12.75">
      <c r="B18" s="20">
        <f>J19</f>
        <v>0.5</v>
      </c>
      <c r="C18" s="8">
        <f>$C$8</f>
        <v>60</v>
      </c>
      <c r="D18" s="112">
        <f>EPortfolio(B18,C18,FALSE,$C$9,$C$10,,$C$11,$G$17:$K17,0)</f>
        <v>11.543305141482442</v>
      </c>
      <c r="E18" s="37">
        <f>Black_Scholes(C18,I18,$C$9,$C$10,$C$11,J18-B18,TRUE,FALSE,,0)</f>
        <v>4.332527650647292</v>
      </c>
      <c r="F18" s="108">
        <f>-D18/E18</f>
        <v>-2.664335019248599</v>
      </c>
      <c r="G18" s="20">
        <v>1</v>
      </c>
      <c r="H18" s="37">
        <f>F18</f>
        <v>-2.664335019248599</v>
      </c>
      <c r="I18" s="23">
        <v>60</v>
      </c>
      <c r="J18" s="23">
        <v>0.75</v>
      </c>
      <c r="K18" s="8" t="b">
        <v>1</v>
      </c>
      <c r="L18" s="100">
        <f>EPortfolio(B18,C18,FALSE,$C$9,$C$10,,$C$11,$G$17:$K$20,$L$9)</f>
        <v>0</v>
      </c>
    </row>
    <row r="19" spans="2:12" ht="12.75">
      <c r="B19" s="20">
        <f>J20</f>
        <v>0.25</v>
      </c>
      <c r="C19" s="8">
        <f>$C$8</f>
        <v>60</v>
      </c>
      <c r="D19" s="112">
        <f>EPortfolio(B19,C19,FALSE,$C$9,$C$10,,$C$11,$G$17:$K18,0)</f>
        <v>-4.214434144900018</v>
      </c>
      <c r="E19" s="37">
        <f>Black_Scholes(C19,I19,$C$9,$C$10,$C$11,J19-B19,TRUE,FALSE,,0)</f>
        <v>4.332527650647292</v>
      </c>
      <c r="F19" s="108">
        <f>-D19/E19</f>
        <v>0.9727425846365618</v>
      </c>
      <c r="G19" s="20">
        <v>1</v>
      </c>
      <c r="H19" s="37">
        <f>F19</f>
        <v>0.9727425846365618</v>
      </c>
      <c r="I19" s="23">
        <v>60</v>
      </c>
      <c r="J19" s="23">
        <v>0.5</v>
      </c>
      <c r="K19" s="8" t="b">
        <v>1</v>
      </c>
      <c r="L19" s="100">
        <f>EPortfolio(B19,C19,FALSE,$C$9,$C$10,,$C$11,$G$17:$K$20,$L$9)</f>
        <v>0</v>
      </c>
    </row>
    <row r="20" spans="2:12" ht="13.5" thickBot="1">
      <c r="B20" s="13">
        <f>J21</f>
        <v>0</v>
      </c>
      <c r="C20" s="14">
        <f>$C$8</f>
        <v>60</v>
      </c>
      <c r="D20" s="113">
        <f>EPortfolio(B20,C20,FALSE,$C$9,$C$10,,$C$11,$G$17:$K19,0)</f>
        <v>-1.2211012579003748</v>
      </c>
      <c r="E20" s="63">
        <f>Black_Scholes(C20,I20,$C$9,$C$10,$C$11,J20-B20,TRUE,FALSE,,0)</f>
        <v>4.332527650647292</v>
      </c>
      <c r="F20" s="109">
        <f>-D20/E20</f>
        <v>0.28184500050863814</v>
      </c>
      <c r="G20" s="13">
        <v>1</v>
      </c>
      <c r="H20" s="63">
        <f>F20</f>
        <v>0.28184500050863814</v>
      </c>
      <c r="I20" s="25">
        <v>60</v>
      </c>
      <c r="J20" s="25">
        <v>0.25</v>
      </c>
      <c r="K20" s="14" t="b">
        <v>1</v>
      </c>
      <c r="L20" s="100">
        <f>EPortfolio(B20,C20,FALSE,$C$9,$C$10,,$C$11,$G$17:$K$20,$L$9)</f>
        <v>0</v>
      </c>
    </row>
    <row r="21" spans="2:12" ht="13.5" thickBot="1">
      <c r="B21" s="13">
        <v>0</v>
      </c>
      <c r="C21" s="14">
        <f>$C$6</f>
        <v>50</v>
      </c>
      <c r="K21" s="56" t="s">
        <v>137</v>
      </c>
      <c r="L21" s="101">
        <f>EPortfolio(B21,C21,FALSE,$C$9,$C$10,,$C$11,$G$17:$K$20,$L$9)</f>
        <v>0.7302779143816633</v>
      </c>
    </row>
    <row r="23" ht="13.5" thickBot="1"/>
    <row r="24" spans="2:23" ht="13.5" thickBot="1">
      <c r="B24" s="16" t="s">
        <v>42</v>
      </c>
      <c r="G24" s="203" t="s">
        <v>138</v>
      </c>
      <c r="H24" s="196"/>
      <c r="I24" s="196"/>
      <c r="J24" s="196"/>
      <c r="K24" s="192"/>
      <c r="N24" s="16" t="s">
        <v>43</v>
      </c>
      <c r="S24" s="203" t="s">
        <v>138</v>
      </c>
      <c r="T24" s="196"/>
      <c r="U24" s="196"/>
      <c r="V24" s="196"/>
      <c r="W24" s="192"/>
    </row>
    <row r="25" spans="2:24" ht="39" thickBot="1">
      <c r="B25" s="111" t="s">
        <v>135</v>
      </c>
      <c r="C25" s="115" t="s">
        <v>136</v>
      </c>
      <c r="D25" s="59" t="s">
        <v>306</v>
      </c>
      <c r="E25" s="60" t="s">
        <v>132</v>
      </c>
      <c r="F25" s="61" t="s">
        <v>133</v>
      </c>
      <c r="G25" s="97" t="s">
        <v>100</v>
      </c>
      <c r="H25" s="98" t="s">
        <v>101</v>
      </c>
      <c r="I25" s="98" t="s">
        <v>102</v>
      </c>
      <c r="J25" s="99" t="s">
        <v>118</v>
      </c>
      <c r="K25" s="75" t="s">
        <v>22</v>
      </c>
      <c r="L25" s="107" t="s">
        <v>134</v>
      </c>
      <c r="N25" s="111" t="s">
        <v>135</v>
      </c>
      <c r="O25" s="115" t="s">
        <v>136</v>
      </c>
      <c r="P25" s="59" t="s">
        <v>306</v>
      </c>
      <c r="Q25" s="60" t="s">
        <v>132</v>
      </c>
      <c r="R25" s="61" t="s">
        <v>133</v>
      </c>
      <c r="S25" s="97" t="s">
        <v>100</v>
      </c>
      <c r="T25" s="98" t="s">
        <v>101</v>
      </c>
      <c r="U25" s="98" t="s">
        <v>102</v>
      </c>
      <c r="V25" s="99" t="s">
        <v>118</v>
      </c>
      <c r="W25" s="75" t="s">
        <v>22</v>
      </c>
      <c r="X25" s="107" t="s">
        <v>134</v>
      </c>
    </row>
    <row r="26" spans="2:24" ht="13.5" thickTop="1">
      <c r="B26" s="1"/>
      <c r="C26" s="11"/>
      <c r="D26" s="29"/>
      <c r="E26" s="29"/>
      <c r="F26" s="11"/>
      <c r="G26" s="20">
        <v>1</v>
      </c>
      <c r="H26" s="23">
        <v>1</v>
      </c>
      <c r="I26" s="23">
        <v>50</v>
      </c>
      <c r="J26" s="23">
        <v>0.75</v>
      </c>
      <c r="K26" s="8" t="b">
        <v>1</v>
      </c>
      <c r="L26" s="93"/>
      <c r="N26" s="1"/>
      <c r="O26" s="11"/>
      <c r="P26" s="29"/>
      <c r="Q26" s="29"/>
      <c r="R26" s="11"/>
      <c r="S26" s="20">
        <v>1</v>
      </c>
      <c r="T26" s="23">
        <v>1</v>
      </c>
      <c r="U26" s="23">
        <v>50</v>
      </c>
      <c r="V26" s="37">
        <v>0.75</v>
      </c>
      <c r="W26" s="8" t="b">
        <v>1</v>
      </c>
      <c r="X26" s="93"/>
    </row>
    <row r="27" spans="2:24" ht="12.75">
      <c r="B27" s="20">
        <f aca="true" t="shared" si="0" ref="B27:B40">J28</f>
        <v>0.7</v>
      </c>
      <c r="C27" s="8">
        <f aca="true" t="shared" si="1" ref="C27:C40">$C$8</f>
        <v>60</v>
      </c>
      <c r="D27" s="37">
        <f>EPortfolio(B27,C27,FALSE,$C$9,$C$10,,$C$11,$G$26:$K26,0)</f>
        <v>10.252234929455994</v>
      </c>
      <c r="E27" s="37">
        <f aca="true" t="shared" si="2" ref="E27:E41">Black_Scholes(C27,I27,$C$9,$C$10,$C$11,J27-B27,TRUE,FALSE,,0)</f>
        <v>1.7554769218750124</v>
      </c>
      <c r="F27" s="108">
        <f>-D27/E27</f>
        <v>-5.840142243798714</v>
      </c>
      <c r="G27" s="20">
        <v>1</v>
      </c>
      <c r="H27" s="37">
        <f>F27</f>
        <v>-5.840142243798714</v>
      </c>
      <c r="I27" s="23">
        <v>60</v>
      </c>
      <c r="J27" s="23">
        <v>0.75</v>
      </c>
      <c r="K27" s="8" t="b">
        <v>1</v>
      </c>
      <c r="L27" s="100">
        <f>EPortfolio(B27,C27,FALSE,$C$9,$C$10,,$C$11,$G$26:$K$41,$L$9)</f>
        <v>0</v>
      </c>
      <c r="N27" s="20">
        <f aca="true" t="shared" si="3" ref="N27:N40">V28</f>
        <v>0.745</v>
      </c>
      <c r="O27" s="8">
        <f aca="true" t="shared" si="4" ref="O27:O40">$C$8</f>
        <v>60</v>
      </c>
      <c r="P27" s="37">
        <f>EPortfolio(N27,O27,FALSE,$C$9,$C$10,,$C$11,$S$26:$W26,0)</f>
        <v>10.024993751041535</v>
      </c>
      <c r="Q27" s="37">
        <f aca="true" t="shared" si="5" ref="Q27:Q41">Black_Scholes(O27,U27,$C$9,$C$10,$C$11,V27-N27,TRUE,FALSE,,0)</f>
        <v>0.5227732079583473</v>
      </c>
      <c r="R27" s="108">
        <f>-P27/Q27</f>
        <v>-19.17656375351258</v>
      </c>
      <c r="S27" s="20">
        <v>1</v>
      </c>
      <c r="T27" s="37">
        <f>R27</f>
        <v>-19.17656375351258</v>
      </c>
      <c r="U27" s="23">
        <v>60</v>
      </c>
      <c r="V27" s="37">
        <v>0.75</v>
      </c>
      <c r="W27" s="8" t="b">
        <v>1</v>
      </c>
      <c r="X27" s="100">
        <f>EPortfolio(N27,O27,FALSE,$C$9,$C$10,,$C$11,$S$26:$W$41,$L$9)</f>
        <v>0</v>
      </c>
    </row>
    <row r="28" spans="2:24" ht="12.75">
      <c r="B28" s="20">
        <f t="shared" si="0"/>
        <v>0.65</v>
      </c>
      <c r="C28" s="8">
        <f t="shared" si="1"/>
        <v>60</v>
      </c>
      <c r="D28" s="37">
        <f>EPortfolio(B28,C28,FALSE,$C$9,$C$10,,$C$11,$G$26:$K27,0)</f>
        <v>-4.469166874056192</v>
      </c>
      <c r="E28" s="37">
        <f t="shared" si="2"/>
        <v>1.7554769218750095</v>
      </c>
      <c r="F28" s="108">
        <f aca="true" t="shared" si="6" ref="F28:F41">-D28/E28</f>
        <v>2.5458419979014675</v>
      </c>
      <c r="G28" s="20">
        <v>1</v>
      </c>
      <c r="H28" s="37">
        <f aca="true" t="shared" si="7" ref="H28:H41">F28</f>
        <v>2.5458419979014675</v>
      </c>
      <c r="I28" s="23">
        <v>60</v>
      </c>
      <c r="J28" s="23">
        <v>0.7</v>
      </c>
      <c r="K28" s="8" t="b">
        <v>1</v>
      </c>
      <c r="L28" s="100">
        <f>EPortfolio(B28,C28,FALSE,$C$9,$C$10,,$C$11,$G$26:$K$41,$L$9)</f>
        <v>0</v>
      </c>
      <c r="N28" s="20">
        <f t="shared" si="3"/>
        <v>0.74</v>
      </c>
      <c r="O28" s="8">
        <f t="shared" si="4"/>
        <v>60</v>
      </c>
      <c r="P28" s="37">
        <f>EPortfolio(N28,O28,FALSE,$C$9,$C$10,,$C$11,$S$26:$W27,0)</f>
        <v>-4.295931382841669</v>
      </c>
      <c r="Q28" s="37">
        <f t="shared" si="5"/>
        <v>0.5227732079583473</v>
      </c>
      <c r="R28" s="108">
        <f aca="true" t="shared" si="8" ref="R28:R41">-P28/Q28</f>
        <v>8.217581386045234</v>
      </c>
      <c r="S28" s="20">
        <v>1</v>
      </c>
      <c r="T28" s="37">
        <f aca="true" t="shared" si="9" ref="T28:T41">R28</f>
        <v>8.217581386045234</v>
      </c>
      <c r="U28" s="23">
        <v>60</v>
      </c>
      <c r="V28" s="37">
        <v>0.745</v>
      </c>
      <c r="W28" s="8" t="b">
        <v>1</v>
      </c>
      <c r="X28" s="100">
        <f aca="true" t="shared" si="10" ref="X28:X42">EPortfolio(N28,O28,FALSE,$C$9,$C$10,,$C$11,$S$26:$W$41,$L$9)</f>
        <v>0</v>
      </c>
    </row>
    <row r="29" spans="2:24" ht="12.75">
      <c r="B29" s="20">
        <f t="shared" si="0"/>
        <v>0.6</v>
      </c>
      <c r="C29" s="8">
        <f t="shared" si="1"/>
        <v>60</v>
      </c>
      <c r="D29" s="37">
        <f>EPortfolio(B29,C29,FALSE,$C$9,$C$10,,$C$11,$G$26:$K28,0)</f>
        <v>-1.4525168100188672</v>
      </c>
      <c r="E29" s="37">
        <f t="shared" si="2"/>
        <v>1.7554769218750124</v>
      </c>
      <c r="F29" s="108">
        <f t="shared" si="6"/>
        <v>0.8274200542992296</v>
      </c>
      <c r="G29" s="20">
        <v>1</v>
      </c>
      <c r="H29" s="37">
        <f t="shared" si="7"/>
        <v>0.8274200542992296</v>
      </c>
      <c r="I29" s="23">
        <v>60</v>
      </c>
      <c r="J29" s="23">
        <v>0.65</v>
      </c>
      <c r="K29" s="8" t="b">
        <v>1</v>
      </c>
      <c r="L29" s="100">
        <f aca="true" t="shared" si="11" ref="L29:L42">EPortfolio(B29,C29,FALSE,$C$9,$C$10,,$C$11,$G$26:$K$41,$L$9)</f>
        <v>0</v>
      </c>
      <c r="N29" s="20">
        <f t="shared" si="3"/>
        <v>0.73</v>
      </c>
      <c r="O29" s="8">
        <f t="shared" si="4"/>
        <v>60</v>
      </c>
      <c r="P29" s="37">
        <f>EPortfolio(N29,O29,FALSE,$C$9,$C$10,,$C$11,$S$26:$W28,0)</f>
        <v>-2.9278952183729974</v>
      </c>
      <c r="Q29" s="37">
        <f t="shared" si="5"/>
        <v>0.7480957785604584</v>
      </c>
      <c r="R29" s="108">
        <f t="shared" si="8"/>
        <v>3.91379727340137</v>
      </c>
      <c r="S29" s="20">
        <v>1</v>
      </c>
      <c r="T29" s="37">
        <f t="shared" si="9"/>
        <v>3.91379727340137</v>
      </c>
      <c r="U29" s="23">
        <v>60</v>
      </c>
      <c r="V29" s="37">
        <v>0.74</v>
      </c>
      <c r="W29" s="8" t="b">
        <v>1</v>
      </c>
      <c r="X29" s="100">
        <f t="shared" si="10"/>
        <v>0</v>
      </c>
    </row>
    <row r="30" spans="2:24" ht="12.75">
      <c r="B30" s="20">
        <f t="shared" si="0"/>
        <v>0.55</v>
      </c>
      <c r="C30" s="8">
        <f t="shared" si="1"/>
        <v>60</v>
      </c>
      <c r="D30" s="37">
        <f>EPortfolio(B30,C30,FALSE,$C$9,$C$10,,$C$11,$G$26:$K29,0)</f>
        <v>-0.6857553131113634</v>
      </c>
      <c r="E30" s="37">
        <f t="shared" si="2"/>
        <v>1.7554769218750095</v>
      </c>
      <c r="F30" s="108">
        <f t="shared" si="6"/>
        <v>0.39063761224437754</v>
      </c>
      <c r="G30" s="20">
        <v>1</v>
      </c>
      <c r="H30" s="37">
        <f t="shared" si="7"/>
        <v>0.39063761224437754</v>
      </c>
      <c r="I30" s="23">
        <v>60</v>
      </c>
      <c r="J30" s="23">
        <v>0.6</v>
      </c>
      <c r="K30" s="8" t="b">
        <v>1</v>
      </c>
      <c r="L30" s="100">
        <f t="shared" si="11"/>
        <v>0</v>
      </c>
      <c r="N30" s="20">
        <f t="shared" si="3"/>
        <v>0.72</v>
      </c>
      <c r="O30" s="8">
        <f t="shared" si="4"/>
        <v>60</v>
      </c>
      <c r="P30" s="37">
        <f>EPortfolio(N30,O30,FALSE,$C$9,$C$10,,$C$11,$S$26:$W29,0)</f>
        <v>-1.2704332091812702</v>
      </c>
      <c r="Q30" s="37">
        <f t="shared" si="5"/>
        <v>0.7480957785604584</v>
      </c>
      <c r="R30" s="108">
        <f t="shared" si="8"/>
        <v>1.698222668260383</v>
      </c>
      <c r="S30" s="20">
        <v>1</v>
      </c>
      <c r="T30" s="37">
        <f t="shared" si="9"/>
        <v>1.698222668260383</v>
      </c>
      <c r="U30" s="23">
        <v>60</v>
      </c>
      <c r="V30" s="37">
        <v>0.73</v>
      </c>
      <c r="W30" s="8" t="b">
        <v>1</v>
      </c>
      <c r="X30" s="100">
        <f t="shared" si="10"/>
        <v>0</v>
      </c>
    </row>
    <row r="31" spans="2:24" ht="12.75">
      <c r="B31" s="20">
        <f t="shared" si="0"/>
        <v>0.5</v>
      </c>
      <c r="C31" s="8">
        <f t="shared" si="1"/>
        <v>60</v>
      </c>
      <c r="D31" s="37">
        <f>EPortfolio(B31,C31,FALSE,$C$9,$C$10,,$C$11,$G$26:$K30,0)</f>
        <v>-0.3934817311522696</v>
      </c>
      <c r="E31" s="37">
        <f t="shared" si="2"/>
        <v>1.7554769218750124</v>
      </c>
      <c r="F31" s="108">
        <f t="shared" si="6"/>
        <v>0.22414520307791602</v>
      </c>
      <c r="G31" s="20">
        <v>1</v>
      </c>
      <c r="H31" s="37">
        <f t="shared" si="7"/>
        <v>0.22414520307791602</v>
      </c>
      <c r="I31" s="23">
        <v>60</v>
      </c>
      <c r="J31" s="23">
        <v>0.55</v>
      </c>
      <c r="K31" s="8" t="b">
        <v>1</v>
      </c>
      <c r="L31" s="100">
        <f t="shared" si="11"/>
        <v>0</v>
      </c>
      <c r="N31" s="20">
        <f t="shared" si="3"/>
        <v>0.71</v>
      </c>
      <c r="O31" s="8">
        <f t="shared" si="4"/>
        <v>60</v>
      </c>
      <c r="P31" s="37">
        <f>EPortfolio(N31,O31,FALSE,$C$9,$C$10,,$C$11,$S$26:$W30,0)</f>
        <v>-0.691149814050793</v>
      </c>
      <c r="Q31" s="37">
        <f t="shared" si="5"/>
        <v>0.7480957785604584</v>
      </c>
      <c r="R31" s="108">
        <f t="shared" si="8"/>
        <v>0.923878778437642</v>
      </c>
      <c r="S31" s="20">
        <v>1</v>
      </c>
      <c r="T31" s="37">
        <f t="shared" si="9"/>
        <v>0.923878778437642</v>
      </c>
      <c r="U31" s="23">
        <v>60</v>
      </c>
      <c r="V31" s="37">
        <v>0.72</v>
      </c>
      <c r="W31" s="8" t="b">
        <v>1</v>
      </c>
      <c r="X31" s="100">
        <f t="shared" si="10"/>
        <v>0</v>
      </c>
    </row>
    <row r="32" spans="2:24" ht="12.75">
      <c r="B32" s="20">
        <f t="shared" si="0"/>
        <v>0.45</v>
      </c>
      <c r="C32" s="8">
        <f t="shared" si="1"/>
        <v>60</v>
      </c>
      <c r="D32" s="37">
        <f>EPortfolio(B32,C32,FALSE,$C$9,$C$10,,$C$11,$G$26:$K31,0)</f>
        <v>-0.2544545573379049</v>
      </c>
      <c r="E32" s="37">
        <f t="shared" si="2"/>
        <v>1.755476921875011</v>
      </c>
      <c r="F32" s="108">
        <f t="shared" si="6"/>
        <v>0.14494896182749242</v>
      </c>
      <c r="G32" s="20">
        <v>1</v>
      </c>
      <c r="H32" s="37">
        <f t="shared" si="7"/>
        <v>0.14494896182749242</v>
      </c>
      <c r="I32" s="23">
        <v>60</v>
      </c>
      <c r="J32" s="23">
        <v>0.5</v>
      </c>
      <c r="K32" s="8" t="b">
        <v>1</v>
      </c>
      <c r="L32" s="100">
        <f t="shared" si="11"/>
        <v>0</v>
      </c>
      <c r="N32" s="20">
        <f t="shared" si="3"/>
        <v>0.7</v>
      </c>
      <c r="O32" s="8">
        <f t="shared" si="4"/>
        <v>60</v>
      </c>
      <c r="P32" s="37">
        <f>EPortfolio(N32,O32,FALSE,$C$9,$C$10,,$C$11,$S$26:$W31,0)</f>
        <v>-0.43730972290125014</v>
      </c>
      <c r="Q32" s="37">
        <f t="shared" si="5"/>
        <v>0.7480957785604584</v>
      </c>
      <c r="R32" s="108">
        <f t="shared" si="8"/>
        <v>0.584563815802776</v>
      </c>
      <c r="S32" s="20">
        <v>1</v>
      </c>
      <c r="T32" s="37">
        <f t="shared" si="9"/>
        <v>0.584563815802776</v>
      </c>
      <c r="U32" s="23">
        <v>60</v>
      </c>
      <c r="V32" s="37">
        <v>0.71</v>
      </c>
      <c r="W32" s="8" t="b">
        <v>1</v>
      </c>
      <c r="X32" s="100">
        <f t="shared" si="10"/>
        <v>0</v>
      </c>
    </row>
    <row r="33" spans="2:24" ht="12.75">
      <c r="B33" s="20">
        <f t="shared" si="0"/>
        <v>0.4</v>
      </c>
      <c r="C33" s="8">
        <f t="shared" si="1"/>
        <v>60</v>
      </c>
      <c r="D33" s="37">
        <f>EPortfolio(B33,C33,FALSE,$C$9,$C$10,,$C$11,$G$26:$K32,0)</f>
        <v>-0.17820808773835395</v>
      </c>
      <c r="E33" s="37">
        <f t="shared" si="2"/>
        <v>1.755476921875011</v>
      </c>
      <c r="F33" s="108">
        <f t="shared" si="6"/>
        <v>0.1015154830677075</v>
      </c>
      <c r="G33" s="20">
        <v>1</v>
      </c>
      <c r="H33" s="37">
        <f t="shared" si="7"/>
        <v>0.1015154830677075</v>
      </c>
      <c r="I33" s="23">
        <v>60</v>
      </c>
      <c r="J33" s="23">
        <v>0.45</v>
      </c>
      <c r="K33" s="8" t="b">
        <v>1</v>
      </c>
      <c r="L33" s="100">
        <f t="shared" si="11"/>
        <v>0</v>
      </c>
      <c r="N33" s="20">
        <f t="shared" si="3"/>
        <v>0.68</v>
      </c>
      <c r="O33" s="8">
        <f t="shared" si="4"/>
        <v>60</v>
      </c>
      <c r="P33" s="37">
        <f>EPortfolio(N33,O33,FALSE,$C$9,$C$10,,$C$11,$S$26:$W32,0)</f>
        <v>-0.6605397127702707</v>
      </c>
      <c r="Q33" s="37">
        <f t="shared" si="5"/>
        <v>1.0755188232308581</v>
      </c>
      <c r="R33" s="108">
        <f t="shared" si="8"/>
        <v>0.6141591374347216</v>
      </c>
      <c r="S33" s="20">
        <v>1</v>
      </c>
      <c r="T33" s="37">
        <f t="shared" si="9"/>
        <v>0.6141591374347216</v>
      </c>
      <c r="U33" s="23">
        <v>60</v>
      </c>
      <c r="V33" s="37">
        <v>0.7</v>
      </c>
      <c r="W33" s="8" t="b">
        <v>1</v>
      </c>
      <c r="X33" s="100">
        <f t="shared" si="10"/>
        <v>0</v>
      </c>
    </row>
    <row r="34" spans="2:24" ht="12.75">
      <c r="B34" s="20">
        <f t="shared" si="0"/>
        <v>0.35</v>
      </c>
      <c r="C34" s="8">
        <f t="shared" si="1"/>
        <v>60</v>
      </c>
      <c r="D34" s="37">
        <f>EPortfolio(B34,C34,FALSE,$C$9,$C$10,,$C$11,$G$26:$K33,0)</f>
        <v>-0.13204746037653264</v>
      </c>
      <c r="E34" s="37">
        <f t="shared" si="2"/>
        <v>1.7554769218750124</v>
      </c>
      <c r="F34" s="108">
        <f t="shared" si="6"/>
        <v>0.07522027702619621</v>
      </c>
      <c r="G34" s="20">
        <v>1</v>
      </c>
      <c r="H34" s="37">
        <f t="shared" si="7"/>
        <v>0.07522027702619621</v>
      </c>
      <c r="I34" s="23">
        <v>60</v>
      </c>
      <c r="J34" s="23">
        <v>0.4</v>
      </c>
      <c r="K34" s="8" t="b">
        <v>1</v>
      </c>
      <c r="L34" s="100">
        <f t="shared" si="11"/>
        <v>0</v>
      </c>
      <c r="N34" s="20">
        <f t="shared" si="3"/>
        <v>0.65</v>
      </c>
      <c r="O34" s="8">
        <f t="shared" si="4"/>
        <v>60</v>
      </c>
      <c r="P34" s="37">
        <f>EPortfolio(N34,O34,FALSE,$C$9,$C$10,,$C$11,$S$26:$W33,0)</f>
        <v>-0.717288671525014</v>
      </c>
      <c r="Q34" s="37">
        <f t="shared" si="5"/>
        <v>1.3337108348132969</v>
      </c>
      <c r="R34" s="108">
        <f t="shared" si="8"/>
        <v>0.5378142343916892</v>
      </c>
      <c r="S34" s="20">
        <v>1</v>
      </c>
      <c r="T34" s="37">
        <f t="shared" si="9"/>
        <v>0.5378142343916892</v>
      </c>
      <c r="U34" s="23">
        <v>60</v>
      </c>
      <c r="V34" s="37">
        <v>0.68</v>
      </c>
      <c r="W34" s="8" t="b">
        <v>1</v>
      </c>
      <c r="X34" s="100">
        <f t="shared" si="10"/>
        <v>-1.1102230246251565E-16</v>
      </c>
    </row>
    <row r="35" spans="2:24" ht="12.75">
      <c r="B35" s="20">
        <f t="shared" si="0"/>
        <v>0.300000000000001</v>
      </c>
      <c r="C35" s="8">
        <f t="shared" si="1"/>
        <v>60</v>
      </c>
      <c r="D35" s="37">
        <f>EPortfolio(B35,C35,FALSE,$C$9,$C$10,,$C$11,$G$26:$K34,0)</f>
        <v>-0.10200683972862934</v>
      </c>
      <c r="E35" s="37">
        <f t="shared" si="2"/>
        <v>1.7554769218749955</v>
      </c>
      <c r="F35" s="108">
        <f t="shared" si="6"/>
        <v>0.058107764595206154</v>
      </c>
      <c r="G35" s="20">
        <v>1</v>
      </c>
      <c r="H35" s="37">
        <f t="shared" si="7"/>
        <v>0.058107764595206154</v>
      </c>
      <c r="I35" s="23">
        <v>60</v>
      </c>
      <c r="J35" s="23">
        <v>0.35</v>
      </c>
      <c r="K35" s="8" t="b">
        <v>1</v>
      </c>
      <c r="L35" s="100">
        <f t="shared" si="11"/>
        <v>0</v>
      </c>
      <c r="N35" s="20">
        <f t="shared" si="3"/>
        <v>0.6</v>
      </c>
      <c r="O35" s="8">
        <f t="shared" si="4"/>
        <v>60</v>
      </c>
      <c r="P35" s="37">
        <f>EPortfolio(N35,O35,FALSE,$C$9,$C$10,,$C$11,$S$26:$W34,0)</f>
        <v>-0.8072131726267253</v>
      </c>
      <c r="Q35" s="37">
        <f t="shared" si="5"/>
        <v>1.7554769218750124</v>
      </c>
      <c r="R35" s="108">
        <f t="shared" si="8"/>
        <v>0.45982556795138424</v>
      </c>
      <c r="S35" s="20">
        <v>1</v>
      </c>
      <c r="T35" s="37">
        <f t="shared" si="9"/>
        <v>0.45982556795138424</v>
      </c>
      <c r="U35" s="23">
        <v>60</v>
      </c>
      <c r="V35" s="37">
        <v>0.65</v>
      </c>
      <c r="W35" s="8" t="b">
        <v>1</v>
      </c>
      <c r="X35" s="100">
        <f t="shared" si="10"/>
        <v>0</v>
      </c>
    </row>
    <row r="36" spans="2:24" ht="12.75">
      <c r="B36" s="20">
        <f t="shared" si="0"/>
        <v>0.250000000000001</v>
      </c>
      <c r="C36" s="8">
        <f t="shared" si="1"/>
        <v>60</v>
      </c>
      <c r="D36" s="37">
        <f>EPortfolio(B36,C36,FALSE,$C$9,$C$10,,$C$11,$G$26:$K35,0)</f>
        <v>-0.08135382078187103</v>
      </c>
      <c r="E36" s="37">
        <f t="shared" si="2"/>
        <v>1.755476921875011</v>
      </c>
      <c r="F36" s="108">
        <f t="shared" si="6"/>
        <v>0.046342859748322786</v>
      </c>
      <c r="G36" s="20">
        <v>1</v>
      </c>
      <c r="H36" s="37">
        <f t="shared" si="7"/>
        <v>0.046342859748322786</v>
      </c>
      <c r="I36" s="23">
        <v>60</v>
      </c>
      <c r="J36" s="23">
        <v>0.300000000000001</v>
      </c>
      <c r="K36" s="8" t="b">
        <v>1</v>
      </c>
      <c r="L36" s="100">
        <f t="shared" si="11"/>
        <v>0</v>
      </c>
      <c r="N36" s="20">
        <f t="shared" si="3"/>
        <v>0.55</v>
      </c>
      <c r="O36" s="8">
        <f t="shared" si="4"/>
        <v>60</v>
      </c>
      <c r="P36" s="37">
        <f>EPortfolio(N36,O36,FALSE,$C$9,$C$10,,$C$11,$S$26:$W35,0)</f>
        <v>-0.49395274419269164</v>
      </c>
      <c r="Q36" s="37">
        <f t="shared" si="5"/>
        <v>1.7554769218750095</v>
      </c>
      <c r="R36" s="108">
        <f t="shared" si="8"/>
        <v>0.2813780904992502</v>
      </c>
      <c r="S36" s="20">
        <v>1</v>
      </c>
      <c r="T36" s="37">
        <f t="shared" si="9"/>
        <v>0.2813780904992502</v>
      </c>
      <c r="U36" s="23">
        <v>60</v>
      </c>
      <c r="V36" s="37">
        <v>0.6</v>
      </c>
      <c r="W36" s="8" t="b">
        <v>1</v>
      </c>
      <c r="X36" s="100">
        <f t="shared" si="10"/>
        <v>0</v>
      </c>
    </row>
    <row r="37" spans="2:24" ht="12.75">
      <c r="B37" s="20">
        <f t="shared" si="0"/>
        <v>0.200000000000001</v>
      </c>
      <c r="C37" s="8">
        <f t="shared" si="1"/>
        <v>60</v>
      </c>
      <c r="D37" s="37">
        <f>EPortfolio(B37,C37,FALSE,$C$9,$C$10,,$C$11,$G$26:$K36,0)</f>
        <v>-0.06653150692460832</v>
      </c>
      <c r="E37" s="37">
        <f t="shared" si="2"/>
        <v>1.755476921875011</v>
      </c>
      <c r="F37" s="108">
        <f t="shared" si="6"/>
        <v>0.03789939138222709</v>
      </c>
      <c r="G37" s="20">
        <v>1</v>
      </c>
      <c r="H37" s="37">
        <f t="shared" si="7"/>
        <v>0.03789939138222709</v>
      </c>
      <c r="I37" s="23">
        <v>60</v>
      </c>
      <c r="J37" s="23">
        <v>0.250000000000001</v>
      </c>
      <c r="K37" s="8" t="b">
        <v>1</v>
      </c>
      <c r="L37" s="100">
        <f t="shared" si="11"/>
        <v>0</v>
      </c>
      <c r="N37" s="20">
        <f t="shared" si="3"/>
        <v>0.5</v>
      </c>
      <c r="O37" s="8">
        <f t="shared" si="4"/>
        <v>60</v>
      </c>
      <c r="P37" s="37">
        <f>EPortfolio(N37,O37,FALSE,$C$9,$C$10,,$C$11,$S$26:$W36,0)</f>
        <v>-0.31028592766718854</v>
      </c>
      <c r="Q37" s="37">
        <f t="shared" si="5"/>
        <v>1.7554769218750124</v>
      </c>
      <c r="R37" s="108">
        <f t="shared" si="8"/>
        <v>0.1767530656773171</v>
      </c>
      <c r="S37" s="20">
        <v>1</v>
      </c>
      <c r="T37" s="37">
        <f t="shared" si="9"/>
        <v>0.1767530656773171</v>
      </c>
      <c r="U37" s="23">
        <v>60</v>
      </c>
      <c r="V37" s="37">
        <v>0.55</v>
      </c>
      <c r="W37" s="8" t="b">
        <v>1</v>
      </c>
      <c r="X37" s="100">
        <f t="shared" si="10"/>
        <v>0</v>
      </c>
    </row>
    <row r="38" spans="2:24" ht="12.75">
      <c r="B38" s="20">
        <f t="shared" si="0"/>
        <v>0.150000000000001</v>
      </c>
      <c r="C38" s="8">
        <f t="shared" si="1"/>
        <v>60</v>
      </c>
      <c r="D38" s="37">
        <f>EPortfolio(B38,C38,FALSE,$C$9,$C$10,,$C$11,$G$26:$K37,0)</f>
        <v>-0.05552086693058925</v>
      </c>
      <c r="E38" s="37">
        <f t="shared" si="2"/>
        <v>1.7554769218750117</v>
      </c>
      <c r="F38" s="108">
        <f t="shared" si="6"/>
        <v>0.03162722690269709</v>
      </c>
      <c r="G38" s="20">
        <v>1</v>
      </c>
      <c r="H38" s="37">
        <f t="shared" si="7"/>
        <v>0.03162722690269709</v>
      </c>
      <c r="I38" s="23">
        <v>60</v>
      </c>
      <c r="J38" s="23">
        <v>0.200000000000001</v>
      </c>
      <c r="K38" s="8" t="b">
        <v>1</v>
      </c>
      <c r="L38" s="100">
        <f t="shared" si="11"/>
        <v>6.938893903907228E-18</v>
      </c>
      <c r="N38" s="20">
        <f t="shared" si="3"/>
        <v>0.4</v>
      </c>
      <c r="O38" s="8">
        <f t="shared" si="4"/>
        <v>60</v>
      </c>
      <c r="P38" s="37">
        <f>EPortfolio(N38,O38,FALSE,$C$9,$C$10,,$C$11,$S$26:$W37,0)</f>
        <v>-0.46020340534180826</v>
      </c>
      <c r="Q38" s="37">
        <f t="shared" si="5"/>
        <v>2.5697037183732063</v>
      </c>
      <c r="R38" s="108">
        <f t="shared" si="8"/>
        <v>0.17908811901208116</v>
      </c>
      <c r="S38" s="20">
        <v>1</v>
      </c>
      <c r="T38" s="37">
        <f t="shared" si="9"/>
        <v>0.17908811901208116</v>
      </c>
      <c r="U38" s="23">
        <v>60</v>
      </c>
      <c r="V38" s="37">
        <v>0.5</v>
      </c>
      <c r="W38" s="8" t="b">
        <v>1</v>
      </c>
      <c r="X38" s="100">
        <f t="shared" si="10"/>
        <v>0</v>
      </c>
    </row>
    <row r="39" spans="2:24" ht="12.75">
      <c r="B39" s="20">
        <f t="shared" si="0"/>
        <v>0.100000000000001</v>
      </c>
      <c r="C39" s="8">
        <f t="shared" si="1"/>
        <v>60</v>
      </c>
      <c r="D39" s="37">
        <f>EPortfolio(B39,C39,FALSE,$C$9,$C$10,,$C$11,$G$26:$K38,0)</f>
        <v>-0.04710779016087563</v>
      </c>
      <c r="E39" s="37">
        <f t="shared" si="2"/>
        <v>1.755476921875011</v>
      </c>
      <c r="F39" s="108">
        <f t="shared" si="6"/>
        <v>0.026834753321940668</v>
      </c>
      <c r="G39" s="20">
        <v>1</v>
      </c>
      <c r="H39" s="37">
        <f t="shared" si="7"/>
        <v>0.026834753321940668</v>
      </c>
      <c r="I39" s="23">
        <v>60</v>
      </c>
      <c r="J39" s="23">
        <v>0.150000000000001</v>
      </c>
      <c r="K39" s="8" t="b">
        <v>1</v>
      </c>
      <c r="L39" s="100">
        <f t="shared" si="11"/>
        <v>0</v>
      </c>
      <c r="N39" s="20">
        <f t="shared" si="3"/>
        <v>0.3</v>
      </c>
      <c r="O39" s="8">
        <f t="shared" si="4"/>
        <v>60</v>
      </c>
      <c r="P39" s="37">
        <f>EPortfolio(N39,O39,FALSE,$C$9,$C$10,,$C$11,$S$26:$W38,0)</f>
        <v>-0.31305212852906295</v>
      </c>
      <c r="Q39" s="37">
        <f t="shared" si="5"/>
        <v>2.569703718373207</v>
      </c>
      <c r="R39" s="108">
        <f t="shared" si="8"/>
        <v>0.12182421120799315</v>
      </c>
      <c r="S39" s="20">
        <v>1</v>
      </c>
      <c r="T39" s="37">
        <f t="shared" si="9"/>
        <v>0.12182421120799315</v>
      </c>
      <c r="U39" s="23">
        <v>60</v>
      </c>
      <c r="V39" s="37">
        <v>0.4</v>
      </c>
      <c r="W39" s="8" t="b">
        <v>1</v>
      </c>
      <c r="X39" s="100">
        <f t="shared" si="10"/>
        <v>0</v>
      </c>
    </row>
    <row r="40" spans="2:24" ht="12.75">
      <c r="B40" s="20">
        <f t="shared" si="0"/>
        <v>0.0500000000000009</v>
      </c>
      <c r="C40" s="8">
        <f t="shared" si="1"/>
        <v>60</v>
      </c>
      <c r="D40" s="37">
        <f>EPortfolio(B40,C40,FALSE,$C$9,$C$10,,$C$11,$G$26:$K39,0)</f>
        <v>-0.04052683532636084</v>
      </c>
      <c r="E40" s="37">
        <f t="shared" si="2"/>
        <v>1.755476921875014</v>
      </c>
      <c r="F40" s="108">
        <f t="shared" si="6"/>
        <v>0.023085940248690012</v>
      </c>
      <c r="G40" s="20">
        <v>1</v>
      </c>
      <c r="H40" s="37">
        <f t="shared" si="7"/>
        <v>0.023085940248690012</v>
      </c>
      <c r="I40" s="23">
        <v>60</v>
      </c>
      <c r="J40" s="23">
        <v>0.100000000000001</v>
      </c>
      <c r="K40" s="8" t="b">
        <v>1</v>
      </c>
      <c r="L40" s="100">
        <f t="shared" si="11"/>
        <v>0</v>
      </c>
      <c r="N40" s="20">
        <f t="shared" si="3"/>
        <v>0.2</v>
      </c>
      <c r="O40" s="8">
        <f t="shared" si="4"/>
        <v>60</v>
      </c>
      <c r="P40" s="37">
        <f>EPortfolio(N40,O40,FALSE,$C$9,$C$10,,$C$11,$S$26:$W39,0)</f>
        <v>-0.20855477334629124</v>
      </c>
      <c r="Q40" s="37">
        <f t="shared" si="5"/>
        <v>2.5697037183732063</v>
      </c>
      <c r="R40" s="108">
        <f t="shared" si="8"/>
        <v>0.08115907365317598</v>
      </c>
      <c r="S40" s="20">
        <v>1</v>
      </c>
      <c r="T40" s="37">
        <f t="shared" si="9"/>
        <v>0.08115907365317598</v>
      </c>
      <c r="U40" s="23">
        <v>60</v>
      </c>
      <c r="V40" s="37">
        <v>0.3</v>
      </c>
      <c r="W40" s="8" t="b">
        <v>1</v>
      </c>
      <c r="X40" s="100">
        <f t="shared" si="10"/>
        <v>0</v>
      </c>
    </row>
    <row r="41" spans="2:24" ht="13.5" thickBot="1">
      <c r="B41" s="102">
        <v>0</v>
      </c>
      <c r="C41" s="110">
        <v>60</v>
      </c>
      <c r="D41" s="63">
        <f>EPortfolio(B41,C41,FALSE,$C$9,$C$10,,$C$11,$G$26:$K40,0)</f>
        <v>-0.035276008138628</v>
      </c>
      <c r="E41" s="63">
        <f t="shared" si="2"/>
        <v>1.7554769218750272</v>
      </c>
      <c r="F41" s="109">
        <f t="shared" si="6"/>
        <v>0.020094828760807433</v>
      </c>
      <c r="G41" s="13">
        <v>1</v>
      </c>
      <c r="H41" s="63">
        <f t="shared" si="7"/>
        <v>0.020094828760807433</v>
      </c>
      <c r="I41" s="25">
        <v>60</v>
      </c>
      <c r="J41" s="25">
        <v>0.0500000000000009</v>
      </c>
      <c r="K41" s="14" t="b">
        <v>1</v>
      </c>
      <c r="L41" s="103">
        <f t="shared" si="11"/>
        <v>0</v>
      </c>
      <c r="N41" s="102">
        <v>0</v>
      </c>
      <c r="O41" s="110">
        <v>60</v>
      </c>
      <c r="P41" s="63">
        <f>EPortfolio(N41,O41,FALSE,$C$9,$C$10,,$C$11,$S$26:$W40,0)</f>
        <v>-0.32849055701792623</v>
      </c>
      <c r="Q41" s="63">
        <f t="shared" si="5"/>
        <v>3.8064622502356653</v>
      </c>
      <c r="R41" s="109">
        <f t="shared" si="8"/>
        <v>0.08629812550947767</v>
      </c>
      <c r="S41" s="13">
        <v>1</v>
      </c>
      <c r="T41" s="63">
        <f t="shared" si="9"/>
        <v>0.08629812550947767</v>
      </c>
      <c r="U41" s="25">
        <v>60</v>
      </c>
      <c r="V41" s="63">
        <v>0.2</v>
      </c>
      <c r="W41" s="14" t="b">
        <v>1</v>
      </c>
      <c r="X41" s="103">
        <f t="shared" si="10"/>
        <v>0</v>
      </c>
    </row>
    <row r="42" spans="2:24" ht="13.5" thickBot="1">
      <c r="B42" s="13">
        <v>0</v>
      </c>
      <c r="C42" s="14">
        <f>$C$6</f>
        <v>50</v>
      </c>
      <c r="K42" s="56" t="s">
        <v>137</v>
      </c>
      <c r="L42" s="101">
        <f t="shared" si="11"/>
        <v>0.3906971646080172</v>
      </c>
      <c r="N42" s="13">
        <v>0</v>
      </c>
      <c r="O42" s="14">
        <f>$C$6</f>
        <v>50</v>
      </c>
      <c r="W42" s="56" t="s">
        <v>137</v>
      </c>
      <c r="X42" s="101">
        <f t="shared" si="10"/>
        <v>0.35504919670884116</v>
      </c>
    </row>
  </sheetData>
  <sheetProtection/>
  <mergeCells count="3">
    <mergeCell ref="G15:K15"/>
    <mergeCell ref="G24:K24"/>
    <mergeCell ref="S24:W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Applications</dc:title>
  <dc:subject/>
  <dc:creator>Alan White</dc:creator>
  <cp:keywords/>
  <dc:description/>
  <cp:lastModifiedBy>Administrator</cp:lastModifiedBy>
  <cp:lastPrinted>2009-02-08T22:27:37Z</cp:lastPrinted>
  <dcterms:created xsi:type="dcterms:W3CDTF">1999-03-17T01:46:46Z</dcterms:created>
  <dcterms:modified xsi:type="dcterms:W3CDTF">2010-04-01T14:36:46Z</dcterms:modified>
  <cp:category/>
  <cp:version/>
  <cp:contentType/>
  <cp:contentStatus/>
</cp:coreProperties>
</file>